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bookViews>
    <workbookView xWindow="-120" yWindow="-120" windowWidth="20730" windowHeight="11160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7" i="1" l="1"/>
  <c r="M127" i="1"/>
  <c r="N107" i="1"/>
  <c r="M107" i="1"/>
  <c r="K107" i="1"/>
  <c r="N130" i="1"/>
  <c r="M130" i="1"/>
  <c r="N109" i="1"/>
  <c r="M109" i="1"/>
  <c r="K109" i="1"/>
  <c r="N106" i="1"/>
  <c r="M106" i="1"/>
  <c r="K106" i="1"/>
  <c r="N128" i="1"/>
  <c r="M128" i="1"/>
  <c r="N120" i="1" l="1"/>
  <c r="M120" i="1"/>
  <c r="N105" i="1" l="1"/>
  <c r="M105" i="1"/>
  <c r="K105" i="1"/>
  <c r="N132" i="1"/>
  <c r="M132" i="1"/>
  <c r="K132" i="1"/>
  <c r="N113" i="1" l="1"/>
  <c r="M113" i="1"/>
  <c r="K113" i="1"/>
  <c r="N126" i="1"/>
  <c r="M126" i="1"/>
  <c r="K126" i="1"/>
  <c r="N117" i="1" l="1"/>
  <c r="M117" i="1"/>
  <c r="K117" i="1"/>
  <c r="N103" i="1" l="1"/>
  <c r="M103" i="1"/>
  <c r="N124" i="1" l="1"/>
  <c r="M124" i="1" l="1"/>
  <c r="N125" i="1"/>
  <c r="M125" i="1"/>
  <c r="N116" i="1"/>
  <c r="M116" i="1"/>
  <c r="K116" i="1"/>
  <c r="N114" i="1"/>
  <c r="M114" i="1"/>
  <c r="K114" i="1" l="1"/>
  <c r="N108" i="1"/>
  <c r="M108" i="1"/>
  <c r="K108" i="1"/>
  <c r="N104" i="1" l="1"/>
  <c r="M104" i="1"/>
  <c r="K104" i="1"/>
  <c r="N121" i="1" l="1"/>
  <c r="M121" i="1"/>
  <c r="K121" i="1"/>
  <c r="G132" i="1"/>
  <c r="F132" i="1"/>
  <c r="G130" i="1"/>
  <c r="F130" i="1"/>
  <c r="G128" i="1"/>
  <c r="F128" i="1"/>
  <c r="G127" i="1"/>
  <c r="F127" i="1"/>
  <c r="G126" i="1"/>
  <c r="F126" i="1"/>
  <c r="G125" i="1"/>
  <c r="F125" i="1"/>
  <c r="G124" i="1"/>
  <c r="F124" i="1"/>
  <c r="G121" i="1"/>
  <c r="F121" i="1"/>
  <c r="D132" i="1"/>
  <c r="D130" i="1"/>
  <c r="D126" i="1"/>
  <c r="D121" i="1"/>
  <c r="G117" i="1"/>
  <c r="F117" i="1"/>
  <c r="G116" i="1"/>
  <c r="F116" i="1"/>
  <c r="G114" i="1"/>
  <c r="F114" i="1"/>
  <c r="G113" i="1"/>
  <c r="F113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D117" i="1"/>
  <c r="D116" i="1"/>
  <c r="D114" i="1"/>
  <c r="D113" i="1"/>
  <c r="D109" i="1"/>
  <c r="D108" i="1"/>
  <c r="D107" i="1"/>
  <c r="D106" i="1"/>
  <c r="D105" i="1"/>
  <c r="D104" i="1"/>
  <c r="R208" i="1" l="1"/>
  <c r="R209" i="1"/>
  <c r="V124" i="1" l="1"/>
  <c r="U124" i="1"/>
  <c r="T124" i="1"/>
  <c r="R124" i="1"/>
  <c r="S131" i="1"/>
  <c r="V131" i="1"/>
  <c r="U131" i="1"/>
  <c r="T131" i="1"/>
  <c r="R131" i="1"/>
  <c r="V51" i="1"/>
  <c r="U51" i="1"/>
  <c r="T51" i="1"/>
  <c r="S51" i="1"/>
  <c r="R51" i="1"/>
  <c r="S124" i="1" l="1"/>
  <c r="V115" i="1" l="1"/>
  <c r="U115" i="1"/>
  <c r="T115" i="1"/>
  <c r="S115" i="1"/>
  <c r="R115" i="1"/>
  <c r="R212" i="1"/>
  <c r="R163" i="1"/>
  <c r="R103" i="1" l="1"/>
  <c r="R159" i="1"/>
  <c r="S159" i="1"/>
  <c r="T159" i="1"/>
  <c r="U159" i="1"/>
  <c r="V159" i="1"/>
  <c r="R82" i="1" l="1"/>
  <c r="V193" i="1"/>
  <c r="U193" i="1"/>
  <c r="T193" i="1"/>
  <c r="S193" i="1"/>
  <c r="R193" i="1"/>
  <c r="V192" i="1"/>
  <c r="U192" i="1"/>
  <c r="T192" i="1"/>
  <c r="S192" i="1"/>
  <c r="R192" i="1"/>
  <c r="R52" i="1" l="1"/>
  <c r="V52" i="1"/>
  <c r="U52" i="1"/>
  <c r="T52" i="1"/>
  <c r="S52" i="1"/>
  <c r="K61" i="1"/>
  <c r="E47" i="1" l="1"/>
  <c r="E48" i="1"/>
  <c r="L40" i="1"/>
  <c r="L51" i="1"/>
  <c r="E51" i="1"/>
  <c r="C14" i="2"/>
  <c r="L38" i="1"/>
  <c r="L58" i="1"/>
  <c r="E52" i="1"/>
  <c r="L52" i="1"/>
  <c r="U166" i="1" l="1"/>
  <c r="V166" i="1"/>
  <c r="R166" i="1"/>
  <c r="S166" i="1"/>
  <c r="T166" i="1"/>
  <c r="R54" i="1"/>
  <c r="V54" i="1"/>
  <c r="U54" i="1"/>
  <c r="T54" i="1"/>
  <c r="S54" i="1"/>
  <c r="V177" i="1" l="1"/>
  <c r="R107" i="1" l="1"/>
  <c r="S107" i="1"/>
  <c r="T107" i="1"/>
  <c r="U107" i="1"/>
  <c r="V107" i="1"/>
  <c r="R32" i="1"/>
  <c r="R70" i="1"/>
  <c r="S70" i="1"/>
  <c r="T70" i="1"/>
  <c r="U70" i="1"/>
  <c r="V70" i="1"/>
  <c r="V32" i="1"/>
  <c r="U32" i="1"/>
  <c r="T32" i="1"/>
  <c r="S32" i="1"/>
  <c r="T104" i="1" l="1"/>
  <c r="U104" i="1"/>
  <c r="V104" i="1"/>
  <c r="S104" i="1"/>
  <c r="R104" i="1"/>
  <c r="R89" i="1" l="1"/>
  <c r="O133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6" i="1"/>
  <c r="S106" i="1"/>
  <c r="T106" i="1"/>
  <c r="U106" i="1"/>
  <c r="V106" i="1"/>
  <c r="R158" i="1" l="1"/>
  <c r="S59" i="1" l="1"/>
  <c r="D141" i="1" l="1"/>
  <c r="I4" i="6"/>
  <c r="I3" i="6" s="1"/>
  <c r="H4" i="6"/>
  <c r="G4" i="6"/>
  <c r="G3" i="6" s="1"/>
  <c r="F4" i="6"/>
  <c r="E4" i="6"/>
  <c r="D4" i="6"/>
  <c r="C4" i="6"/>
  <c r="B4" i="6"/>
  <c r="H3" i="6"/>
  <c r="F3" i="6"/>
  <c r="E3" i="6"/>
  <c r="D3" i="6"/>
  <c r="C3" i="6"/>
  <c r="B3" i="6"/>
  <c r="R109" i="1" l="1"/>
  <c r="S109" i="1"/>
  <c r="T109" i="1"/>
  <c r="U109" i="1"/>
  <c r="V109" i="1"/>
  <c r="R110" i="1"/>
  <c r="S110" i="1"/>
  <c r="T110" i="1"/>
  <c r="U110" i="1"/>
  <c r="V110" i="1"/>
  <c r="R97" i="1" l="1"/>
  <c r="S97" i="1"/>
  <c r="T97" i="1"/>
  <c r="U97" i="1"/>
  <c r="V97" i="1"/>
  <c r="R59" i="1"/>
  <c r="V59" i="1"/>
  <c r="U59" i="1"/>
  <c r="T59" i="1"/>
  <c r="R188" i="1"/>
  <c r="R147" i="1" l="1"/>
  <c r="R126" i="1" l="1"/>
  <c r="S126" i="1"/>
  <c r="T126" i="1"/>
  <c r="U126" i="1"/>
  <c r="V126" i="1"/>
  <c r="R83" i="1"/>
  <c r="S83" i="1"/>
  <c r="T83" i="1"/>
  <c r="U83" i="1"/>
  <c r="V83" i="1"/>
  <c r="V202" i="1" l="1"/>
  <c r="T164" i="1"/>
  <c r="S164" i="1"/>
  <c r="R129" i="1" l="1"/>
  <c r="V160" i="1" l="1"/>
  <c r="T151" i="1" l="1"/>
  <c r="R145" i="1"/>
  <c r="S145" i="1"/>
  <c r="T145" i="1"/>
  <c r="U145" i="1"/>
  <c r="V145" i="1"/>
  <c r="R167" i="1"/>
  <c r="S167" i="1"/>
  <c r="T167" i="1"/>
  <c r="U167" i="1"/>
  <c r="V167" i="1"/>
  <c r="R125" i="1" l="1"/>
  <c r="S125" i="1"/>
  <c r="S189" i="1" l="1"/>
  <c r="V125" i="1"/>
  <c r="U125" i="1"/>
  <c r="T125" i="1"/>
  <c r="R72" i="1" l="1"/>
  <c r="V80" i="1" l="1"/>
  <c r="U80" i="1"/>
  <c r="T80" i="1"/>
  <c r="S80" i="1"/>
  <c r="R80" i="1"/>
  <c r="V86" i="1" l="1"/>
  <c r="U86" i="1"/>
  <c r="T86" i="1"/>
  <c r="S86" i="1"/>
  <c r="R86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90" i="1"/>
  <c r="U190" i="1"/>
  <c r="T190" i="1"/>
  <c r="S190" i="1"/>
  <c r="R190" i="1"/>
  <c r="T34" i="1" l="1"/>
  <c r="S22" i="1" l="1"/>
  <c r="T22" i="1"/>
  <c r="V108" i="1" l="1"/>
  <c r="R108" i="1"/>
  <c r="S108" i="1"/>
  <c r="T108" i="1"/>
  <c r="U108" i="1"/>
  <c r="R13" i="1" l="1"/>
  <c r="R50" i="1" l="1"/>
  <c r="V50" i="1"/>
  <c r="U50" i="1"/>
  <c r="T50" i="1"/>
  <c r="S50" i="1"/>
  <c r="V137" i="1" l="1"/>
  <c r="U137" i="1"/>
  <c r="T137" i="1"/>
  <c r="S137" i="1"/>
  <c r="R137" i="1"/>
  <c r="R77" i="1" l="1"/>
  <c r="S183" i="1" l="1"/>
  <c r="D178" i="1" l="1"/>
  <c r="B19" i="2" s="1"/>
  <c r="B9" i="2" s="1"/>
  <c r="D133" i="1"/>
  <c r="E124" i="1" s="1"/>
  <c r="E107" i="1" l="1"/>
  <c r="E115" i="1"/>
  <c r="E106" i="1"/>
  <c r="E104" i="1"/>
  <c r="B16" i="2"/>
  <c r="B6" i="2" s="1"/>
  <c r="E121" i="1"/>
  <c r="E126" i="1"/>
  <c r="E109" i="1"/>
  <c r="E125" i="1"/>
  <c r="R96" i="1"/>
  <c r="S96" i="1"/>
  <c r="T96" i="1"/>
  <c r="U96" i="1"/>
  <c r="V96" i="1"/>
  <c r="D218" i="1"/>
  <c r="D197" i="1"/>
  <c r="D61" i="1"/>
  <c r="B20" i="2" l="1"/>
  <c r="B10" i="2" s="1"/>
  <c r="E193" i="1"/>
  <c r="E192" i="1"/>
  <c r="B14" i="2"/>
  <c r="B4" i="2" s="1"/>
  <c r="E137" i="1"/>
  <c r="B17" i="2"/>
  <c r="B7" i="2" s="1"/>
  <c r="E187" i="1"/>
  <c r="E188" i="1"/>
  <c r="E189" i="1"/>
  <c r="E190" i="1"/>
  <c r="E191" i="1"/>
  <c r="E194" i="1"/>
  <c r="E195" i="1"/>
  <c r="E196" i="1"/>
  <c r="R176" i="1"/>
  <c r="R88" i="1" l="1"/>
  <c r="S88" i="1"/>
  <c r="T88" i="1"/>
  <c r="V88" i="1"/>
  <c r="U88" i="1"/>
  <c r="D23" i="1" l="1"/>
  <c r="B13" i="2" s="1"/>
  <c r="B3" i="2" l="1"/>
  <c r="E10" i="1"/>
  <c r="R122" i="1"/>
  <c r="R20" i="1" l="1"/>
  <c r="R207" i="1" l="1"/>
  <c r="S207" i="1"/>
  <c r="T207" i="1"/>
  <c r="U207" i="1"/>
  <c r="V207" i="1"/>
  <c r="S208" i="1"/>
  <c r="T208" i="1"/>
  <c r="U208" i="1"/>
  <c r="V208" i="1"/>
  <c r="S209" i="1"/>
  <c r="T209" i="1"/>
  <c r="U209" i="1"/>
  <c r="V209" i="1"/>
  <c r="R210" i="1"/>
  <c r="S210" i="1"/>
  <c r="T210" i="1"/>
  <c r="U210" i="1"/>
  <c r="V210" i="1"/>
  <c r="R211" i="1"/>
  <c r="S211" i="1"/>
  <c r="T211" i="1"/>
  <c r="U211" i="1"/>
  <c r="V211" i="1"/>
  <c r="S212" i="1"/>
  <c r="T212" i="1"/>
  <c r="U212" i="1"/>
  <c r="V212" i="1"/>
  <c r="R213" i="1"/>
  <c r="S213" i="1"/>
  <c r="T213" i="1"/>
  <c r="U213" i="1"/>
  <c r="V213" i="1"/>
  <c r="R214" i="1"/>
  <c r="S214" i="1"/>
  <c r="T214" i="1"/>
  <c r="U214" i="1"/>
  <c r="V214" i="1"/>
  <c r="R215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S218" i="1"/>
  <c r="U218" i="1"/>
  <c r="V218" i="1"/>
  <c r="V206" i="1"/>
  <c r="U206" i="1"/>
  <c r="T206" i="1"/>
  <c r="S206" i="1"/>
  <c r="R206" i="1"/>
  <c r="U202" i="1"/>
  <c r="T202" i="1"/>
  <c r="S202" i="1"/>
  <c r="R202" i="1"/>
  <c r="V201" i="1"/>
  <c r="U201" i="1"/>
  <c r="T201" i="1"/>
  <c r="S201" i="1"/>
  <c r="R201" i="1"/>
  <c r="R187" i="1"/>
  <c r="S187" i="1"/>
  <c r="T187" i="1"/>
  <c r="U187" i="1"/>
  <c r="V187" i="1"/>
  <c r="S188" i="1"/>
  <c r="T188" i="1"/>
  <c r="U188" i="1"/>
  <c r="V188" i="1"/>
  <c r="R189" i="1"/>
  <c r="T189" i="1"/>
  <c r="U189" i="1"/>
  <c r="V189" i="1"/>
  <c r="R191" i="1"/>
  <c r="S191" i="1"/>
  <c r="T191" i="1"/>
  <c r="U191" i="1"/>
  <c r="V191" i="1"/>
  <c r="R194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S197" i="1"/>
  <c r="U197" i="1"/>
  <c r="V197" i="1"/>
  <c r="V186" i="1"/>
  <c r="U186" i="1"/>
  <c r="T186" i="1"/>
  <c r="S186" i="1"/>
  <c r="R186" i="1"/>
  <c r="V183" i="1"/>
  <c r="U183" i="1"/>
  <c r="T183" i="1"/>
  <c r="R183" i="1"/>
  <c r="V182" i="1"/>
  <c r="U182" i="1"/>
  <c r="T182" i="1"/>
  <c r="S182" i="1"/>
  <c r="R182" i="1"/>
  <c r="S176" i="1"/>
  <c r="T176" i="1"/>
  <c r="U176" i="1"/>
  <c r="V176" i="1"/>
  <c r="R177" i="1"/>
  <c r="S177" i="1"/>
  <c r="T177" i="1"/>
  <c r="U177" i="1"/>
  <c r="S178" i="1"/>
  <c r="U178" i="1"/>
  <c r="V178" i="1"/>
  <c r="V175" i="1"/>
  <c r="U175" i="1"/>
  <c r="T175" i="1"/>
  <c r="S175" i="1"/>
  <c r="R175" i="1"/>
  <c r="R146" i="1"/>
  <c r="S146" i="1"/>
  <c r="T146" i="1"/>
  <c r="U146" i="1"/>
  <c r="V146" i="1"/>
  <c r="S147" i="1"/>
  <c r="T147" i="1"/>
  <c r="U147" i="1"/>
  <c r="V147" i="1"/>
  <c r="R148" i="1"/>
  <c r="S148" i="1"/>
  <c r="T148" i="1"/>
  <c r="U148" i="1"/>
  <c r="R149" i="1"/>
  <c r="S149" i="1"/>
  <c r="T149" i="1"/>
  <c r="U149" i="1"/>
  <c r="V149" i="1"/>
  <c r="R150" i="1"/>
  <c r="S150" i="1"/>
  <c r="T150" i="1"/>
  <c r="U150" i="1"/>
  <c r="V150" i="1"/>
  <c r="R151" i="1"/>
  <c r="S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R157" i="1"/>
  <c r="S157" i="1"/>
  <c r="T157" i="1"/>
  <c r="U157" i="1"/>
  <c r="V157" i="1"/>
  <c r="S158" i="1"/>
  <c r="T158" i="1"/>
  <c r="U158" i="1"/>
  <c r="V158" i="1"/>
  <c r="R160" i="1"/>
  <c r="S160" i="1"/>
  <c r="T160" i="1"/>
  <c r="U160" i="1"/>
  <c r="R161" i="1"/>
  <c r="S161" i="1"/>
  <c r="T161" i="1"/>
  <c r="U161" i="1"/>
  <c r="V161" i="1"/>
  <c r="R162" i="1"/>
  <c r="S162" i="1"/>
  <c r="T162" i="1"/>
  <c r="U162" i="1"/>
  <c r="V162" i="1"/>
  <c r="S163" i="1"/>
  <c r="T163" i="1"/>
  <c r="U163" i="1"/>
  <c r="V163" i="1"/>
  <c r="R164" i="1"/>
  <c r="U164" i="1"/>
  <c r="V164" i="1"/>
  <c r="R165" i="1"/>
  <c r="S165" i="1"/>
  <c r="T165" i="1"/>
  <c r="U165" i="1"/>
  <c r="V165" i="1"/>
  <c r="R168" i="1"/>
  <c r="S168" i="1"/>
  <c r="T168" i="1"/>
  <c r="U168" i="1"/>
  <c r="V168" i="1"/>
  <c r="R169" i="1"/>
  <c r="S169" i="1"/>
  <c r="T169" i="1"/>
  <c r="U169" i="1"/>
  <c r="V169" i="1"/>
  <c r="R170" i="1"/>
  <c r="S170" i="1"/>
  <c r="T170" i="1"/>
  <c r="U170" i="1"/>
  <c r="V170" i="1"/>
  <c r="R171" i="1"/>
  <c r="S171" i="1"/>
  <c r="T171" i="1"/>
  <c r="U171" i="1"/>
  <c r="V171" i="1"/>
  <c r="S172" i="1"/>
  <c r="U172" i="1"/>
  <c r="V172" i="1"/>
  <c r="V144" i="1"/>
  <c r="U144" i="1"/>
  <c r="T144" i="1"/>
  <c r="S144" i="1"/>
  <c r="R144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S141" i="1"/>
  <c r="U141" i="1"/>
  <c r="V141" i="1"/>
  <c r="V136" i="1"/>
  <c r="U136" i="1"/>
  <c r="T136" i="1"/>
  <c r="S136" i="1"/>
  <c r="R136" i="1"/>
  <c r="R121" i="1"/>
  <c r="S121" i="1"/>
  <c r="T121" i="1"/>
  <c r="U121" i="1"/>
  <c r="V121" i="1"/>
  <c r="S122" i="1"/>
  <c r="T122" i="1"/>
  <c r="U122" i="1"/>
  <c r="V122" i="1"/>
  <c r="R123" i="1"/>
  <c r="S123" i="1"/>
  <c r="T123" i="1"/>
  <c r="U123" i="1"/>
  <c r="V123" i="1"/>
  <c r="R127" i="1"/>
  <c r="S127" i="1"/>
  <c r="T127" i="1"/>
  <c r="U127" i="1"/>
  <c r="V127" i="1"/>
  <c r="R128" i="1"/>
  <c r="S128" i="1"/>
  <c r="T128" i="1"/>
  <c r="U128" i="1"/>
  <c r="V128" i="1"/>
  <c r="S129" i="1"/>
  <c r="T129" i="1"/>
  <c r="U129" i="1"/>
  <c r="V129" i="1"/>
  <c r="R130" i="1"/>
  <c r="S130" i="1"/>
  <c r="T130" i="1"/>
  <c r="U130" i="1"/>
  <c r="V130" i="1"/>
  <c r="R132" i="1"/>
  <c r="S132" i="1"/>
  <c r="T132" i="1"/>
  <c r="U132" i="1"/>
  <c r="V132" i="1"/>
  <c r="S133" i="1"/>
  <c r="U133" i="1"/>
  <c r="V133" i="1"/>
  <c r="V120" i="1"/>
  <c r="U120" i="1"/>
  <c r="T120" i="1"/>
  <c r="S120" i="1"/>
  <c r="R120" i="1"/>
  <c r="R105" i="1"/>
  <c r="S105" i="1"/>
  <c r="T105" i="1"/>
  <c r="U105" i="1"/>
  <c r="V105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6" i="1"/>
  <c r="S116" i="1"/>
  <c r="T116" i="1"/>
  <c r="U116" i="1"/>
  <c r="V116" i="1"/>
  <c r="R117" i="1"/>
  <c r="S117" i="1"/>
  <c r="T117" i="1"/>
  <c r="U117" i="1"/>
  <c r="V117" i="1"/>
  <c r="V103" i="1"/>
  <c r="U103" i="1"/>
  <c r="T103" i="1"/>
  <c r="S103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R69" i="1"/>
  <c r="S69" i="1"/>
  <c r="T69" i="1"/>
  <c r="U69" i="1"/>
  <c r="R71" i="1"/>
  <c r="S71" i="1"/>
  <c r="T71" i="1"/>
  <c r="U71" i="1"/>
  <c r="V71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S77" i="1"/>
  <c r="T77" i="1"/>
  <c r="U77" i="1"/>
  <c r="V77" i="1"/>
  <c r="R78" i="1"/>
  <c r="S78" i="1"/>
  <c r="T78" i="1"/>
  <c r="U78" i="1"/>
  <c r="V78" i="1"/>
  <c r="R79" i="1"/>
  <c r="S79" i="1"/>
  <c r="T79" i="1"/>
  <c r="U79" i="1"/>
  <c r="V79" i="1"/>
  <c r="R81" i="1"/>
  <c r="S81" i="1"/>
  <c r="T81" i="1"/>
  <c r="U81" i="1"/>
  <c r="V81" i="1"/>
  <c r="S82" i="1"/>
  <c r="T82" i="1"/>
  <c r="U82" i="1"/>
  <c r="V82" i="1"/>
  <c r="R84" i="1"/>
  <c r="S84" i="1"/>
  <c r="T84" i="1"/>
  <c r="U84" i="1"/>
  <c r="V84" i="1"/>
  <c r="R85" i="1"/>
  <c r="S85" i="1"/>
  <c r="T85" i="1"/>
  <c r="U85" i="1"/>
  <c r="V85" i="1"/>
  <c r="R87" i="1"/>
  <c r="S87" i="1"/>
  <c r="T87" i="1"/>
  <c r="U87" i="1"/>
  <c r="V87" i="1"/>
  <c r="S89" i="1"/>
  <c r="T89" i="1"/>
  <c r="U89" i="1"/>
  <c r="V89" i="1"/>
  <c r="R90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R95" i="1"/>
  <c r="S95" i="1"/>
  <c r="T95" i="1"/>
  <c r="U95" i="1"/>
  <c r="V95" i="1"/>
  <c r="R98" i="1"/>
  <c r="S98" i="1"/>
  <c r="T98" i="1"/>
  <c r="U98" i="1"/>
  <c r="V98" i="1"/>
  <c r="S99" i="1"/>
  <c r="U99" i="1"/>
  <c r="V99" i="1"/>
  <c r="V64" i="1"/>
  <c r="U64" i="1"/>
  <c r="T64" i="1"/>
  <c r="S64" i="1"/>
  <c r="R64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3" i="1"/>
  <c r="S53" i="1"/>
  <c r="T53" i="1"/>
  <c r="U53" i="1"/>
  <c r="V53" i="1"/>
  <c r="R55" i="1"/>
  <c r="S55" i="1"/>
  <c r="T55" i="1"/>
  <c r="U55" i="1"/>
  <c r="V55" i="1"/>
  <c r="R56" i="1"/>
  <c r="S56" i="1"/>
  <c r="T56" i="1"/>
  <c r="U56" i="1"/>
  <c r="V56" i="1"/>
  <c r="R57" i="1"/>
  <c r="S57" i="1"/>
  <c r="T57" i="1"/>
  <c r="U57" i="1"/>
  <c r="V57" i="1"/>
  <c r="R58" i="1"/>
  <c r="S58" i="1"/>
  <c r="T58" i="1"/>
  <c r="U58" i="1"/>
  <c r="V58" i="1"/>
  <c r="R60" i="1"/>
  <c r="S60" i="1"/>
  <c r="T60" i="1"/>
  <c r="U60" i="1"/>
  <c r="V60" i="1"/>
  <c r="S61" i="1"/>
  <c r="U61" i="1"/>
  <c r="V61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9" i="1" l="1"/>
  <c r="V148" i="1"/>
  <c r="O197" i="1" l="1"/>
  <c r="O218" i="1"/>
  <c r="K218" i="1"/>
  <c r="L210" i="1" s="1"/>
  <c r="H218" i="1"/>
  <c r="K203" i="1"/>
  <c r="H203" i="1"/>
  <c r="D203" i="1"/>
  <c r="H197" i="1"/>
  <c r="K197" i="1"/>
  <c r="B5" i="3" s="1"/>
  <c r="H178" i="1"/>
  <c r="O178" i="1"/>
  <c r="K178" i="1"/>
  <c r="O172" i="1"/>
  <c r="K172" i="1"/>
  <c r="H172" i="1"/>
  <c r="D172" i="1"/>
  <c r="E159" i="1" s="1"/>
  <c r="O141" i="1"/>
  <c r="K141" i="1"/>
  <c r="H141" i="1"/>
  <c r="T141" i="1" s="1"/>
  <c r="H133" i="1"/>
  <c r="K133" i="1"/>
  <c r="L124" i="1" s="1"/>
  <c r="O99" i="1"/>
  <c r="K99" i="1"/>
  <c r="L81" i="1" s="1"/>
  <c r="H99" i="1"/>
  <c r="D99" i="1"/>
  <c r="O61" i="1"/>
  <c r="H61" i="1"/>
  <c r="O23" i="1"/>
  <c r="H23" i="1"/>
  <c r="L115" i="1" l="1"/>
  <c r="L131" i="1"/>
  <c r="B4" i="3"/>
  <c r="L154" i="1"/>
  <c r="L159" i="1"/>
  <c r="L160" i="1"/>
  <c r="L166" i="1"/>
  <c r="L145" i="1"/>
  <c r="L193" i="1"/>
  <c r="L192" i="1"/>
  <c r="E70" i="1"/>
  <c r="B15" i="2"/>
  <c r="L70" i="1"/>
  <c r="C15" i="2"/>
  <c r="B18" i="2"/>
  <c r="B8" i="2" s="1"/>
  <c r="E166" i="1"/>
  <c r="E54" i="1"/>
  <c r="L54" i="1"/>
  <c r="L104" i="1"/>
  <c r="L107" i="1"/>
  <c r="E32" i="1"/>
  <c r="L32" i="1"/>
  <c r="L164" i="1"/>
  <c r="L165" i="1"/>
  <c r="L167" i="1"/>
  <c r="E60" i="1"/>
  <c r="E59" i="1"/>
  <c r="C18" i="2"/>
  <c r="C8" i="2" s="1"/>
  <c r="C16" i="2"/>
  <c r="C6" i="2" s="1"/>
  <c r="L106" i="1"/>
  <c r="L137" i="1"/>
  <c r="C17" i="2"/>
  <c r="C7" i="2" s="1"/>
  <c r="B6" i="3"/>
  <c r="C19" i="2"/>
  <c r="C9" i="2" s="1"/>
  <c r="B2" i="3"/>
  <c r="C20" i="2"/>
  <c r="C10" i="2" s="1"/>
  <c r="B7" i="3"/>
  <c r="C5" i="2"/>
  <c r="B8" i="3"/>
  <c r="C4" i="2"/>
  <c r="E97" i="1"/>
  <c r="B5" i="2"/>
  <c r="B9" i="3"/>
  <c r="L83" i="1"/>
  <c r="L97" i="1"/>
  <c r="L59" i="1"/>
  <c r="L187" i="1"/>
  <c r="L188" i="1"/>
  <c r="L189" i="1"/>
  <c r="L190" i="1"/>
  <c r="L191" i="1"/>
  <c r="L194" i="1"/>
  <c r="L195" i="1"/>
  <c r="L196" i="1"/>
  <c r="L125" i="1"/>
  <c r="L126" i="1"/>
  <c r="E80" i="1"/>
  <c r="E83" i="1"/>
  <c r="E165" i="1"/>
  <c r="E167" i="1"/>
  <c r="L90" i="1"/>
  <c r="L98" i="1"/>
  <c r="L80" i="1"/>
  <c r="E145" i="1"/>
  <c r="L109" i="1"/>
  <c r="L122" i="1"/>
  <c r="L186" i="1"/>
  <c r="E86" i="1"/>
  <c r="L86" i="1"/>
  <c r="L57" i="1"/>
  <c r="L37" i="1"/>
  <c r="L216" i="1"/>
  <c r="L217" i="1"/>
  <c r="E50" i="1"/>
  <c r="L49" i="1"/>
  <c r="L53" i="1"/>
  <c r="L50" i="1"/>
  <c r="L55" i="1"/>
  <c r="L103" i="1"/>
  <c r="L120" i="1"/>
  <c r="L161" i="1"/>
  <c r="L168" i="1"/>
  <c r="L91" i="1"/>
  <c r="L67" i="1"/>
  <c r="L108" i="1"/>
  <c r="L26" i="1"/>
  <c r="T197" i="1"/>
  <c r="L95" i="1"/>
  <c r="L96" i="1"/>
  <c r="E88" i="1"/>
  <c r="E96" i="1"/>
  <c r="T218" i="1"/>
  <c r="L88" i="1"/>
  <c r="T61" i="1"/>
  <c r="T178" i="1"/>
  <c r="R178" i="1"/>
  <c r="T99" i="1"/>
  <c r="T172" i="1"/>
  <c r="T23" i="1"/>
  <c r="R141" i="1"/>
  <c r="R218" i="1"/>
  <c r="T133" i="1"/>
  <c r="O198" i="1"/>
  <c r="O219" i="1" s="1"/>
  <c r="R172" i="1"/>
  <c r="R133" i="1"/>
  <c r="R99" i="1"/>
  <c r="L66" i="1"/>
  <c r="L68" i="1"/>
  <c r="L71" i="1"/>
  <c r="L73" i="1"/>
  <c r="L75" i="1"/>
  <c r="L77" i="1"/>
  <c r="L79" i="1"/>
  <c r="L82" i="1"/>
  <c r="L85" i="1"/>
  <c r="L89" i="1"/>
  <c r="L93" i="1"/>
  <c r="L65" i="1"/>
  <c r="L69" i="1"/>
  <c r="L72" i="1"/>
  <c r="L74" i="1"/>
  <c r="L76" i="1"/>
  <c r="L78" i="1"/>
  <c r="L84" i="1"/>
  <c r="L87" i="1"/>
  <c r="L92" i="1"/>
  <c r="L94" i="1"/>
  <c r="E28" i="1"/>
  <c r="E30" i="1"/>
  <c r="E33" i="1"/>
  <c r="E35" i="1"/>
  <c r="E37" i="1"/>
  <c r="E39" i="1"/>
  <c r="E41" i="1"/>
  <c r="E43" i="1"/>
  <c r="E45" i="1"/>
  <c r="E49" i="1"/>
  <c r="E55" i="1"/>
  <c r="E57" i="1"/>
  <c r="E27" i="1"/>
  <c r="E29" i="1"/>
  <c r="E31" i="1"/>
  <c r="E34" i="1"/>
  <c r="E36" i="1"/>
  <c r="E38" i="1"/>
  <c r="E40" i="1"/>
  <c r="E42" i="1"/>
  <c r="E44" i="1"/>
  <c r="E46" i="1"/>
  <c r="E53" i="1"/>
  <c r="E56" i="1"/>
  <c r="E58" i="1"/>
  <c r="E26" i="1"/>
  <c r="R197" i="1"/>
  <c r="H198" i="1"/>
  <c r="H219" i="1" s="1"/>
  <c r="J10" i="4"/>
  <c r="I12" i="4"/>
  <c r="H12" i="4"/>
  <c r="G12" i="4"/>
  <c r="F12" i="4"/>
  <c r="E12" i="4"/>
  <c r="C12" i="4"/>
  <c r="E214" i="1"/>
  <c r="L215" i="1"/>
  <c r="L214" i="1"/>
  <c r="L212" i="1"/>
  <c r="L211" i="1"/>
  <c r="L208" i="1"/>
  <c r="L207" i="1"/>
  <c r="L206" i="1"/>
  <c r="L201" i="1"/>
  <c r="E201" i="1"/>
  <c r="L183" i="1"/>
  <c r="L175" i="1"/>
  <c r="E177" i="1"/>
  <c r="E171" i="1"/>
  <c r="E168" i="1"/>
  <c r="L158" i="1"/>
  <c r="L156" i="1"/>
  <c r="L153" i="1"/>
  <c r="L150" i="1"/>
  <c r="L148" i="1"/>
  <c r="L144" i="1"/>
  <c r="L139" i="1"/>
  <c r="E140" i="1"/>
  <c r="L140" i="1"/>
  <c r="E95" i="1"/>
  <c r="E94" i="1"/>
  <c r="E92" i="1"/>
  <c r="E90" i="1"/>
  <c r="E87" i="1"/>
  <c r="E84" i="1"/>
  <c r="E81" i="1"/>
  <c r="E78" i="1"/>
  <c r="E76" i="1"/>
  <c r="E74" i="1"/>
  <c r="E72" i="1"/>
  <c r="E69" i="1"/>
  <c r="E67" i="1"/>
  <c r="E65" i="1"/>
  <c r="L56" i="1"/>
  <c r="R61" i="1"/>
  <c r="L34" i="1"/>
  <c r="K23" i="1"/>
  <c r="E15" i="1"/>
  <c r="S6" i="1"/>
  <c r="R6" i="1"/>
  <c r="L10" i="1" l="1"/>
  <c r="C13" i="2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6" i="1"/>
  <c r="L146" i="1"/>
  <c r="L149" i="1"/>
  <c r="L152" i="1"/>
  <c r="L157" i="1"/>
  <c r="L162" i="1"/>
  <c r="E19" i="1"/>
  <c r="L64" i="1"/>
  <c r="E68" i="1"/>
  <c r="E136" i="1"/>
  <c r="E144" i="1"/>
  <c r="E146" i="1"/>
  <c r="E147" i="1"/>
  <c r="E152" i="1"/>
  <c r="E153" i="1"/>
  <c r="E154" i="1"/>
  <c r="E155" i="1"/>
  <c r="E161" i="1"/>
  <c r="E164" i="1"/>
  <c r="E170" i="1"/>
  <c r="E12" i="1"/>
  <c r="E14" i="1"/>
  <c r="E17" i="1"/>
  <c r="E21" i="1"/>
  <c r="L30" i="1"/>
  <c r="L39" i="1"/>
  <c r="L45" i="1"/>
  <c r="K198" i="1"/>
  <c r="L138" i="1"/>
  <c r="E148" i="1"/>
  <c r="E149" i="1"/>
  <c r="E150" i="1"/>
  <c r="E151" i="1"/>
  <c r="E156" i="1"/>
  <c r="E157" i="1"/>
  <c r="E158" i="1"/>
  <c r="E160" i="1"/>
  <c r="E162" i="1"/>
  <c r="E163" i="1"/>
  <c r="E169" i="1"/>
  <c r="L182" i="1"/>
  <c r="L113" i="1"/>
  <c r="L112" i="1"/>
  <c r="L35" i="1"/>
  <c r="L46" i="1"/>
  <c r="E139" i="1"/>
  <c r="L170" i="1"/>
  <c r="L177" i="1"/>
  <c r="E209" i="1"/>
  <c r="E213" i="1"/>
  <c r="E217" i="1"/>
  <c r="D12" i="4"/>
  <c r="E105" i="1"/>
  <c r="L41" i="1"/>
  <c r="L31" i="1"/>
  <c r="L43" i="1"/>
  <c r="L147" i="1"/>
  <c r="L151" i="1"/>
  <c r="L155" i="1"/>
  <c r="E176" i="1"/>
  <c r="E186" i="1"/>
  <c r="E202" i="1"/>
  <c r="L209" i="1"/>
  <c r="L213" i="1"/>
  <c r="L29" i="1"/>
  <c r="E7" i="1"/>
  <c r="E18" i="1"/>
  <c r="E22" i="1"/>
  <c r="L28" i="1"/>
  <c r="L48" i="1"/>
  <c r="E64" i="1"/>
  <c r="E73" i="1"/>
  <c r="E77" i="1"/>
  <c r="E82" i="1"/>
  <c r="E89" i="1"/>
  <c r="E93" i="1"/>
  <c r="E98" i="1"/>
  <c r="E138" i="1"/>
  <c r="L163" i="1"/>
  <c r="L169" i="1"/>
  <c r="L176" i="1"/>
  <c r="L202" i="1"/>
  <c r="R203" i="1"/>
  <c r="E208" i="1"/>
  <c r="E212" i="1"/>
  <c r="E216" i="1"/>
  <c r="E175" i="1"/>
  <c r="E183" i="1"/>
  <c r="E207" i="1"/>
  <c r="E211" i="1"/>
  <c r="E215" i="1"/>
  <c r="L47" i="1"/>
  <c r="L60" i="1"/>
  <c r="L27" i="1"/>
  <c r="L36" i="1"/>
  <c r="E182" i="1"/>
  <c r="E13" i="1"/>
  <c r="E16" i="1"/>
  <c r="L33" i="1"/>
  <c r="L44" i="1"/>
  <c r="E66" i="1"/>
  <c r="E71" i="1"/>
  <c r="E75" i="1"/>
  <c r="E79" i="1"/>
  <c r="E85" i="1"/>
  <c r="E91" i="1"/>
  <c r="L171" i="1"/>
  <c r="E206" i="1"/>
  <c r="E210" i="1"/>
  <c r="L123" i="1" l="1"/>
  <c r="L105" i="1"/>
  <c r="L110" i="1"/>
  <c r="L117" i="1"/>
  <c r="L128" i="1"/>
  <c r="L111" i="1"/>
  <c r="K219" i="1"/>
  <c r="L23" i="1"/>
  <c r="L172" i="1"/>
  <c r="L61" i="1"/>
  <c r="L141" i="1"/>
  <c r="L99" i="1"/>
  <c r="L133" i="1"/>
  <c r="L197" i="1"/>
  <c r="L178" i="1"/>
  <c r="L116" i="1"/>
  <c r="L114" i="1"/>
  <c r="L132" i="1"/>
  <c r="L127" i="1"/>
  <c r="L129" i="1"/>
  <c r="L130" i="1"/>
  <c r="L121" i="1"/>
  <c r="E130" i="1"/>
  <c r="E127" i="1"/>
  <c r="E114" i="1"/>
  <c r="E111" i="1"/>
  <c r="E117" i="1"/>
  <c r="E112" i="1"/>
  <c r="E122" i="1"/>
  <c r="E113" i="1"/>
  <c r="D198" i="1"/>
  <c r="E132" i="1"/>
  <c r="E103" i="1"/>
  <c r="E116" i="1"/>
  <c r="E110" i="1"/>
  <c r="E129" i="1"/>
  <c r="E128" i="1"/>
  <c r="E123" i="1"/>
  <c r="E120" i="1"/>
  <c r="E133" i="1" l="1"/>
  <c r="R198" i="1"/>
  <c r="E61" i="1"/>
  <c r="E172" i="1"/>
  <c r="D219" i="1"/>
  <c r="E99" i="1"/>
  <c r="E23" i="1"/>
  <c r="E197" i="1"/>
  <c r="E141" i="1"/>
  <c r="E178" i="1"/>
</calcChain>
</file>

<file path=xl/sharedStrings.xml><?xml version="1.0" encoding="utf-8"?>
<sst xmlns="http://schemas.openxmlformats.org/spreadsheetml/2006/main" count="458" uniqueCount="289">
  <si>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</si>
  <si>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</si>
  <si>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</si>
  <si>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</si>
  <si>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</si>
  <si>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</si>
  <si>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</si>
  <si>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</si>
  <si>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</si>
  <si>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</si>
  <si>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</si>
  <si>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</si>
  <si>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</si>
  <si>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</si>
  <si>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</si>
  <si>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</si>
  <si>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</si>
  <si>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</si>
  <si>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</si>
  <si>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</si>
  <si>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</si>
  <si>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</si>
  <si>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</si>
  <si>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</si>
  <si>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</si>
  <si>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</si>
  <si>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</si>
  <si>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</si>
  <si>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</si>
  <si>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</si>
  <si>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</si>
  <si>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</si>
  <si>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</si>
  <si>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</si>
  <si>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</si>
  <si>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</si>
  <si>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</si>
  <si>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</si>
  <si>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</si>
  <si>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</si>
  <si>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</si>
  <si>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</si>
  <si>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</si>
  <si>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</si>
  <si>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</si>
  <si>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</si>
  <si>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</si>
  <si>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</si>
  <si>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</si>
  <si>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</si>
  <si>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</si>
  <si>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</si>
  <si>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</si>
  <si>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</si>
  <si>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</si>
  <si>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</si>
  <si>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</si>
  <si>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</si>
  <si>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</si>
  <si>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</si>
  <si>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</si>
  <si>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</si>
  <si>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</si>
  <si>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</si>
  <si>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</si>
  <si>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</si>
  <si>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</si>
  <si>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</si>
  <si>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</si>
  <si>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</si>
  <si>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</si>
  <si>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</si>
  <si>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</si>
  <si>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</si>
  <si>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</si>
  <si>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</si>
  <si>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</si>
  <si>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</si>
  <si>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</si>
  <si>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</si>
  <si>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</si>
  <si>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</si>
  <si>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</si>
  <si>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</si>
  <si>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</si>
  <si>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</si>
  <si>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</si>
  <si>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</si>
  <si>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</si>
  <si>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</si>
  <si>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</si>
  <si>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</si>
  <si>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</si>
  <si>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</si>
  <si>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</si>
  <si>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</si>
  <si>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</si>
  <si>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</si>
  <si>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</si>
  <si>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</si>
  <si>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</si>
  <si>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</si>
  <si>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</si>
  <si>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</si>
  <si>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</si>
  <si>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</si>
  <si>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</si>
  <si>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</si>
  <si>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</si>
  <si>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</si>
  <si>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</si>
  <si>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</si>
  <si>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</si>
  <si>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</si>
  <si>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</si>
  <si>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</si>
  <si>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</si>
  <si>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</si>
  <si>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</si>
  <si>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</si>
  <si>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</si>
  <si>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</si>
  <si>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</si>
  <si>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</si>
  <si>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</si>
  <si>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</si>
  <si>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</si>
  <si>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</si>
  <si>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</si>
  <si>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</si>
  <si>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</si>
  <si>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</si>
  <si>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</si>
  <si>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</si>
  <si>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</si>
  <si>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</si>
  <si>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</si>
  <si>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</si>
  <si>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</si>
  <si>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</si>
  <si>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</si>
  <si>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</si>
  <si>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</si>
  <si>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</si>
  <si>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</si>
  <si>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</si>
  <si>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</si>
  <si>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</si>
  <si>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</si>
  <si>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</si>
  <si>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</si>
  <si>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</si>
  <si>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</si>
  <si>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</si>
  <si>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</si>
  <si>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</si>
  <si>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</si>
  <si>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</si>
  <si>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</si>
  <si>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</si>
  <si>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</si>
  <si>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</si>
  <si>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</si>
  <si>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</si>
  <si>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</si>
  <si>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</si>
  <si>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</si>
  <si>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</si>
  <si>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</si>
  <si>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</si>
  <si>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</si>
  <si>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</si>
  <si>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</si>
  <si>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</si>
  <si>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</si>
  <si>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</si>
  <si>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</si>
  <si>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</si>
  <si>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</si>
  <si>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</si>
  <si>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</si>
  <si>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</si>
  <si>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</si>
  <si>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</si>
  <si>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</si>
  <si>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</si>
  <si>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</si>
  <si>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</si>
  <si>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</si>
  <si>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</si>
  <si>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</si>
  <si>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</si>
  <si>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</si>
  <si>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</si>
  <si>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</si>
  <si>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</si>
  <si>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</si>
  <si>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</si>
  <si>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</si>
  <si>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</si>
  <si>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</si>
  <si>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</si>
  <si>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</si>
  <si>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</si>
  <si>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</si>
  <si>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</si>
  <si>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</si>
  <si>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</si>
  <si>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</si>
  <si>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</si>
  <si>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</si>
  <si>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</si>
  <si>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</si>
  <si>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</si>
  <si>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</si>
  <si>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</si>
  <si>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</si>
  <si>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</si>
  <si>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</si>
  <si>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</si>
  <si>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</si>
  <si>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</si>
  <si>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</si>
  <si>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</si>
  <si>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</si>
  <si>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</si>
  <si>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</si>
  <si>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</si>
  <si>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</si>
  <si>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</si>
  <si>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</si>
  <si>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</si>
  <si>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</si>
  <si>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</si>
  <si>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</si>
  <si>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</si>
  <si>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</si>
  <si>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</si>
  <si>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</si>
  <si>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</si>
  <si>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</si>
  <si>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</si>
  <si>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</si>
  <si>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</si>
  <si>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</si>
  <si>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</si>
  <si>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</si>
  <si>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</si>
  <si>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</si>
  <si>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</si>
  <si>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</si>
  <si>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</si>
  <si>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</si>
  <si>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</si>
  <si>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</si>
  <si>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</si>
  <si>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</si>
  <si>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</si>
  <si>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</si>
  <si>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</si>
  <si>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</si>
  <si>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</si>
  <si>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</si>
  <si>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</si>
  <si>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</si>
  <si>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</si>
  <si>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</si>
  <si>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</si>
  <si>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</si>
  <si>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</si>
  <si>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</si>
  <si>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STL Asset Management Limited</t>
  </si>
  <si>
    <t>STL Money Market Fund</t>
  </si>
  <si>
    <t>STL Balanced Fund</t>
  </si>
  <si>
    <t>RT Briscoe Savings &amp; Investment Fund</t>
  </si>
  <si>
    <t>GTI Balanced Fund</t>
  </si>
  <si>
    <t>Guaranty Dollar Fund</t>
  </si>
  <si>
    <t>Nigerian Eurobond Fund</t>
  </si>
  <si>
    <t>NAV, Unit Price and Yield as at Week Ended July 12, 2024</t>
  </si>
  <si>
    <t>RMB Nigeria Asset Management Ltd.</t>
  </si>
  <si>
    <t>RMBN Money Market Fund</t>
  </si>
  <si>
    <t>RMBN Dollar Fixed Income Fund</t>
  </si>
  <si>
    <t>Week Ended July 12, 2024</t>
  </si>
  <si>
    <t>WEEKLY VALUATION REPORT OF COLLECTIVE INVESTMENT SCHEMES AS AT WEEK ENDED FRIDAY, JULY 19, 2024</t>
  </si>
  <si>
    <t>NAV, Unit Price and Yield as at Week Ended July 19,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</si>
  <si>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19th July, 2024 = N1585</t>
    </r>
  </si>
  <si>
    <t xml:space="preserve">           346.2827 </t>
  </si>
  <si>
    <t>Week Ended July 19, 2024</t>
  </si>
  <si>
    <t>The chart above shows that the Dollar Fund category (Eurobonds and Fixed Income) has the highest share of the Aggregate Net Asset Value (NAV) at 48.49%, followed by Money Market Fund with 36.90%, Bond/Fixed Income Fund at 7.33%, Real Estate Investment Trust at 3.13%.  Next is Balanced Fund at 1.55%, Shari'ah Compliant Fund at 1.57%, Equity Fund at 0.87% and Ethical Fund at 0.17%.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</si>
</sst>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1"/>
      <color theme="1"/>
      <name val="Aptos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3" applyNumberFormat="0" applyAlignment="0" applyProtection="0"/>
    <xf numFmtId="0" fontId="36" fillId="18" borderId="14" applyNumberFormat="0" applyAlignment="0" applyProtection="0"/>
    <xf numFmtId="0" fontId="37" fillId="18" borderId="13" applyNumberFormat="0" applyAlignment="0" applyProtection="0"/>
    <xf numFmtId="0" fontId="38" fillId="0" borderId="15" applyNumberFormat="0" applyFill="0" applyAlignment="0" applyProtection="0"/>
    <xf numFmtId="0" fontId="39" fillId="19" borderId="16" applyNumberFormat="0" applyAlignment="0" applyProtection="0"/>
    <xf numFmtId="0" fontId="40" fillId="0" borderId="0" applyNumberFormat="0" applyFill="0" applyBorder="0" applyAlignment="0" applyProtection="0"/>
    <xf numFmtId="0" fontId="1" fillId="20" borderId="17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89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165" fontId="6" fillId="5" borderId="5" xfId="2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right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2" fillId="0" borderId="0" xfId="0" applyFont="1"/>
    <xf numFmtId="0" fontId="47" fillId="3" borderId="0" xfId="0" applyFont="1" applyFill="1" applyAlignment="1">
      <alignment wrapText="1"/>
    </xf>
    <xf numFmtId="43" fontId="42" fillId="0" borderId="0" xfId="7" applyFont="1" applyBorder="1"/>
    <xf numFmtId="2" fontId="42" fillId="0" borderId="0" xfId="0" applyNumberFormat="1" applyFont="1"/>
    <xf numFmtId="10" fontId="42" fillId="0" borderId="0" xfId="2" applyNumberFormat="1" applyFont="1" applyBorder="1"/>
    <xf numFmtId="10" fontId="48" fillId="0" borderId="0" xfId="2" applyNumberFormat="1" applyFont="1" applyBorder="1"/>
    <xf numFmtId="0" fontId="6" fillId="7" borderId="19" xfId="0" applyFont="1" applyFill="1" applyBorder="1" applyAlignment="1">
      <alignment horizontal="right"/>
    </xf>
    <xf numFmtId="0" fontId="3" fillId="7" borderId="19" xfId="0" applyFont="1" applyFill="1" applyBorder="1" applyAlignment="1">
      <alignment horizontal="right"/>
    </xf>
    <xf numFmtId="0" fontId="39" fillId="0" borderId="0" xfId="0" applyFont="1"/>
    <xf numFmtId="16" fontId="49" fillId="3" borderId="0" xfId="0" applyNumberFormat="1" applyFont="1" applyFill="1"/>
    <xf numFmtId="164" fontId="50" fillId="0" borderId="0" xfId="1" applyFont="1"/>
    <xf numFmtId="43" fontId="50" fillId="0" borderId="0" xfId="0" applyNumberFormat="1" applyFont="1"/>
    <xf numFmtId="4" fontId="50" fillId="0" borderId="0" xfId="0" applyNumberFormat="1" applyFont="1"/>
    <xf numFmtId="0" fontId="4" fillId="3" borderId="5" xfId="0" applyFont="1" applyFill="1" applyBorder="1"/>
    <xf numFmtId="0" fontId="47" fillId="3" borderId="5" xfId="0" applyFont="1" applyFill="1" applyBorder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0" fillId="0" borderId="0" xfId="0" applyFont="1"/>
    <xf numFmtId="4" fontId="11" fillId="3" borderId="0" xfId="0" applyNumberFormat="1" applyFont="1" applyFill="1"/>
    <xf numFmtId="164" fontId="11" fillId="3" borderId="0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" fontId="4" fillId="3" borderId="5" xfId="0" applyNumberFormat="1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4" fontId="4" fillId="0" borderId="5" xfId="0" applyNumberFormat="1" applyFont="1" applyBorder="1" applyAlignment="1">
      <alignment wrapText="1"/>
    </xf>
    <xf numFmtId="0" fontId="4" fillId="3" borderId="5" xfId="0" applyFont="1" applyFill="1" applyBorder="1" applyAlignment="1">
      <alignment horizontal="left" wrapText="1"/>
    </xf>
    <xf numFmtId="0" fontId="10" fillId="0" borderId="0" xfId="0" applyFont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3" fillId="13" borderId="0" xfId="0" applyFont="1" applyFill="1" applyAlignment="1">
      <alignment horizontal="center" wrapText="1"/>
    </xf>
    <xf numFmtId="0" fontId="51" fillId="0" borderId="5" xfId="0" applyFont="1" applyBorder="1" applyAlignment="1">
      <alignment horizontal="right"/>
    </xf>
    <xf numFmtId="16" fontId="52" fillId="3" borderId="5" xfId="0" applyNumberFormat="1" applyFont="1" applyFill="1" applyBorder="1"/>
    <xf numFmtId="0" fontId="52" fillId="0" borderId="5" xfId="0" applyFont="1" applyBorder="1" applyAlignment="1">
      <alignment horizontal="right"/>
    </xf>
    <xf numFmtId="4" fontId="53" fillId="3" borderId="5" xfId="0" applyNumberFormat="1" applyFont="1" applyFill="1" applyBorder="1"/>
    <xf numFmtId="164" fontId="53" fillId="3" borderId="5" xfId="1" applyFont="1" applyFill="1" applyBorder="1" applyAlignment="1">
      <alignment horizontal="right" vertical="top" wrapText="1"/>
    </xf>
    <xf numFmtId="4" fontId="53" fillId="3" borderId="5" xfId="0" applyNumberFormat="1" applyFont="1" applyFill="1" applyBorder="1" applyAlignment="1">
      <alignment horizontal="right"/>
    </xf>
    <xf numFmtId="0" fontId="52" fillId="0" borderId="0" xfId="0" applyFont="1" applyAlignment="1">
      <alignment horizontal="right"/>
    </xf>
    <xf numFmtId="164" fontId="18" fillId="0" borderId="0" xfId="1" applyFont="1"/>
    <xf numFmtId="16" fontId="52" fillId="3" borderId="5" xfId="0" applyNumberFormat="1" applyFont="1" applyFill="1" applyBorder="1" applyAlignment="1">
      <alignment horizontal="center" wrapText="1"/>
    </xf>
    <xf numFmtId="0" fontId="52" fillId="0" borderId="5" xfId="0" applyFont="1" applyBorder="1" applyAlignment="1">
      <alignment horizontal="right" wrapText="1"/>
    </xf>
    <xf numFmtId="4" fontId="53" fillId="3" borderId="0" xfId="0" applyNumberFormat="1" applyFont="1" applyFill="1"/>
    <xf numFmtId="0" fontId="54" fillId="0" borderId="5" xfId="0" applyFont="1" applyBorder="1" applyAlignment="1">
      <alignment horizontal="right" wrapText="1"/>
    </xf>
    <xf numFmtId="164" fontId="55" fillId="0" borderId="5" xfId="1" applyFont="1" applyBorder="1"/>
    <xf numFmtId="4" fontId="55" fillId="3" borderId="5" xfId="0" applyNumberFormat="1" applyFont="1" applyFill="1" applyBorder="1"/>
    <xf numFmtId="0" fontId="54" fillId="0" borderId="5" xfId="0" applyFont="1" applyBorder="1" applyAlignment="1">
      <alignment horizontal="right"/>
    </xf>
    <xf numFmtId="4" fontId="55" fillId="3" borderId="5" xfId="0" applyNumberFormat="1" applyFont="1" applyFill="1" applyBorder="1" applyAlignment="1">
      <alignment horizontal="right"/>
    </xf>
    <xf numFmtId="164" fontId="55" fillId="3" borderId="5" xfId="1" applyFont="1" applyFill="1" applyBorder="1" applyAlignment="1">
      <alignment horizontal="right" vertical="top" wrapText="1"/>
    </xf>
    <xf numFmtId="4" fontId="53" fillId="3" borderId="0" xfId="0" applyNumberFormat="1" applyFont="1" applyFill="1" applyAlignment="1">
      <alignment horizontal="right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/>
    <cellStyle name="Comma 2" xfId="7"/>
    <cellStyle name="Comma 2 2" xfId="43"/>
    <cellStyle name="Comma 3" xfId="54"/>
    <cellStyle name="Comma 3 2" xfId="4"/>
    <cellStyle name="Comma 3 2 2" xfId="44"/>
    <cellStyle name="Comma 4" xfId="9"/>
    <cellStyle name="Comma 5" xfId="55"/>
    <cellStyle name="Comma 6" xfId="57"/>
    <cellStyle name="Comma 8" xfId="59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/>
    <cellStyle name="Normal" xfId="0" builtinId="0"/>
    <cellStyle name="Normal 2" xfId="8"/>
    <cellStyle name="Normal 2 2" xfId="45"/>
    <cellStyle name="Normal 27 2" xfId="6"/>
    <cellStyle name="Note" xfId="22" builtinId="10" customBuiltin="1"/>
    <cellStyle name="Output" xfId="17" builtinId="21" customBuiltin="1"/>
    <cellStyle name="Percent" xfId="2" builtinId="5"/>
    <cellStyle name="Percent 2 2" xfId="5"/>
    <cellStyle name="Percent 5" xfId="56"/>
    <cellStyle name="Percent 6" xfId="58"/>
    <cellStyle name="Title 2" xfId="46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July 12,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28.668185801740002</c:v>
                </c:pt>
                <c:pt idx="1">
                  <c:v>1142.9213127732401</c:v>
                </c:pt>
                <c:pt idx="2">
                  <c:v>234.50945639979122</c:v>
                </c:pt>
                <c:pt idx="3">
                  <c:v>1488.3553387158659</c:v>
                </c:pt>
                <c:pt idx="4">
                  <c:v>98.677642489274277</c:v>
                </c:pt>
                <c:pt idx="5" formatCode="_-* #,##0.00_-;\-* #,##0.00_-;_-* &quot;-&quot;??_-;_-@_-">
                  <c:v>49.261704634470767</c:v>
                </c:pt>
                <c:pt idx="6">
                  <c:v>5.2241948543199994</c:v>
                </c:pt>
                <c:pt idx="7">
                  <c:v>49.543935481033515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July 19,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27.374223550790397</c:v>
                </c:pt>
                <c:pt idx="1">
                  <c:v>1166.7228772850799</c:v>
                </c:pt>
                <c:pt idx="2">
                  <c:v>231.62902102744599</c:v>
                </c:pt>
                <c:pt idx="3">
                  <c:v>1533.1297084149489</c:v>
                </c:pt>
                <c:pt idx="4">
                  <c:v>98.890361757442918</c:v>
                </c:pt>
                <c:pt idx="5" formatCode="_-* #,##0.00_-;\-* #,##0.00_-;_-* &quot;-&quot;??_-;_-@_-">
                  <c:v>49.152903684924063</c:v>
                </c:pt>
                <c:pt idx="6">
                  <c:v>5.2459778449799996</c:v>
                </c:pt>
                <c:pt idx="7">
                  <c:v>49.695575045307137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19TH JULY,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6"/>
          <c:y val="3.171951886707670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19-Jul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5245977844.9799995</c:v>
                </c:pt>
                <c:pt idx="1">
                  <c:v>27374223550.790398</c:v>
                </c:pt>
                <c:pt idx="2" formatCode="_-* #,##0.00_-;\-* #,##0.00_-;_-* &quot;-&quot;??_-;_-@_-">
                  <c:v>49152903684.924065</c:v>
                </c:pt>
                <c:pt idx="3">
                  <c:v>49695575045.307137</c:v>
                </c:pt>
                <c:pt idx="4">
                  <c:v>98890361757.442917</c:v>
                </c:pt>
                <c:pt idx="5">
                  <c:v>231629021027.44598</c:v>
                </c:pt>
                <c:pt idx="6">
                  <c:v>1166722877285.0798</c:v>
                </c:pt>
                <c:pt idx="7">
                  <c:v>1533129708414.949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45443</c:v>
                </c:pt>
                <c:pt idx="1">
                  <c:v>45450</c:v>
                </c:pt>
                <c:pt idx="2">
                  <c:v>45457</c:v>
                </c:pt>
                <c:pt idx="3">
                  <c:v>45464</c:v>
                </c:pt>
                <c:pt idx="4">
                  <c:v>45471</c:v>
                </c:pt>
                <c:pt idx="5">
                  <c:v>45478</c:v>
                </c:pt>
                <c:pt idx="6">
                  <c:v>45485</c:v>
                </c:pt>
                <c:pt idx="7">
                  <c:v>45492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2902.1598706044138</c:v>
                </c:pt>
                <c:pt idx="1">
                  <c:v>2910.8781340479409</c:v>
                </c:pt>
                <c:pt idx="2">
                  <c:v>2928.2097391078973</c:v>
                </c:pt>
                <c:pt idx="3">
                  <c:v>2935.8430719008147</c:v>
                </c:pt>
                <c:pt idx="4">
                  <c:v>2970.9827489413674</c:v>
                </c:pt>
                <c:pt idx="5">
                  <c:v>3047.0187418823903</c:v>
                </c:pt>
                <c:pt idx="6">
                  <c:v>3097.1617711497356</c:v>
                </c:pt>
                <c:pt idx="7">
                  <c:v>3161.8406486109188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45443</c:v>
                </c:pt>
                <c:pt idx="1">
                  <c:v>45450</c:v>
                </c:pt>
                <c:pt idx="2">
                  <c:v>45457</c:v>
                </c:pt>
                <c:pt idx="3">
                  <c:v>45464</c:v>
                </c:pt>
                <c:pt idx="4">
                  <c:v>45471</c:v>
                </c:pt>
                <c:pt idx="5">
                  <c:v>45478</c:v>
                </c:pt>
                <c:pt idx="6">
                  <c:v>45485</c:v>
                </c:pt>
                <c:pt idx="7">
                  <c:v>45492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13.116887577834783</c:v>
                </c:pt>
                <c:pt idx="1">
                  <c:v>13.08808103006</c:v>
                </c:pt>
                <c:pt idx="2">
                  <c:v>13.263470098545037</c:v>
                </c:pt>
                <c:pt idx="3">
                  <c:v>13.253375082678389</c:v>
                </c:pt>
                <c:pt idx="4">
                  <c:v>12.263967010065977</c:v>
                </c:pt>
                <c:pt idx="5">
                  <c:v>12.187736015745237</c:v>
                </c:pt>
                <c:pt idx="6">
                  <c:v>12.34693280092509</c:v>
                </c:pt>
                <c:pt idx="7">
                  <c:v>12.398936333326033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23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26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61" t="s">
        <v>283</v>
      </c>
      <c r="B1" s="162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4"/>
    </row>
    <row r="2" spans="1:25" ht="15" customHeight="1">
      <c r="A2" s="1"/>
      <c r="B2" s="1"/>
      <c r="C2" s="1"/>
      <c r="D2" s="167" t="s">
        <v>278</v>
      </c>
      <c r="E2" s="168"/>
      <c r="F2" s="168"/>
      <c r="G2" s="168"/>
      <c r="H2" s="168"/>
      <c r="I2" s="168"/>
      <c r="J2" s="169"/>
      <c r="K2" s="167" t="s">
        <v>284</v>
      </c>
      <c r="L2" s="168"/>
      <c r="M2" s="168"/>
      <c r="N2" s="168"/>
      <c r="O2" s="168"/>
      <c r="P2" s="168"/>
      <c r="Q2" s="169"/>
      <c r="R2" s="167" t="s">
        <v>0</v>
      </c>
      <c r="S2" s="168"/>
      <c r="T2" s="169"/>
      <c r="U2" s="165" t="s">
        <v>1</v>
      </c>
      <c r="V2" s="165"/>
    </row>
    <row r="3" spans="1:25" ht="25.5">
      <c r="A3" s="79" t="s">
        <v>2</v>
      </c>
      <c r="B3" s="79" t="s">
        <v>3</v>
      </c>
      <c r="C3" s="73" t="s">
        <v>4</v>
      </c>
      <c r="D3" s="74" t="s">
        <v>5</v>
      </c>
      <c r="E3" s="75" t="s">
        <v>6</v>
      </c>
      <c r="F3" s="75" t="s">
        <v>7</v>
      </c>
      <c r="G3" s="75" t="s">
        <v>8</v>
      </c>
      <c r="H3" s="75" t="s">
        <v>227</v>
      </c>
      <c r="I3" s="75" t="s">
        <v>9</v>
      </c>
      <c r="J3" s="75" t="s">
        <v>10</v>
      </c>
      <c r="K3" s="76" t="s">
        <v>5</v>
      </c>
      <c r="L3" s="75" t="s">
        <v>6</v>
      </c>
      <c r="M3" s="75" t="s">
        <v>7</v>
      </c>
      <c r="N3" s="75" t="s">
        <v>8</v>
      </c>
      <c r="O3" s="75" t="s">
        <v>227</v>
      </c>
      <c r="P3" s="75" t="s">
        <v>9</v>
      </c>
      <c r="Q3" s="75" t="s">
        <v>10</v>
      </c>
      <c r="R3" s="74" t="s">
        <v>11</v>
      </c>
      <c r="S3" s="75" t="s">
        <v>12</v>
      </c>
      <c r="T3" s="75" t="s">
        <v>233</v>
      </c>
      <c r="U3" s="75" t="s">
        <v>13</v>
      </c>
      <c r="V3" s="75" t="s">
        <v>14</v>
      </c>
    </row>
    <row r="4" spans="1:25" ht="7.5" customHeight="1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</row>
    <row r="5" spans="1:25" ht="15" customHeight="1">
      <c r="A5" s="158" t="s">
        <v>15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</row>
    <row r="6" spans="1:25">
      <c r="A6" s="146">
        <v>1</v>
      </c>
      <c r="B6" s="138" t="s">
        <v>16</v>
      </c>
      <c r="C6" s="139" t="s">
        <v>17</v>
      </c>
      <c r="D6" s="2">
        <v>1123232333.3699999</v>
      </c>
      <c r="E6" s="3">
        <f t="shared" ref="E6:E22" si="0">(D6/$D$23)</f>
        <v>3.9180446964377696E-2</v>
      </c>
      <c r="F6" s="8">
        <v>340.4271</v>
      </c>
      <c r="G6" s="8">
        <v>340.4271</v>
      </c>
      <c r="H6" s="58">
        <v>1741</v>
      </c>
      <c r="I6" s="5">
        <v>-4.5999999999999999E-3</v>
      </c>
      <c r="J6" s="5">
        <v>0.13450000000000001</v>
      </c>
      <c r="K6" s="2">
        <v>1119035277.3800001</v>
      </c>
      <c r="L6" s="3">
        <f>(K6/$K$23)</f>
        <v>4.0879160473857139E-2</v>
      </c>
      <c r="M6" s="8">
        <v>341.38709999999998</v>
      </c>
      <c r="N6" s="8">
        <v>341.38709999999998</v>
      </c>
      <c r="O6" s="58">
        <v>1741</v>
      </c>
      <c r="P6" s="5">
        <v>2.8E-3</v>
      </c>
      <c r="Q6" s="5">
        <v>0.1376</v>
      </c>
      <c r="R6" s="77">
        <f>((K6-D6)/D6)</f>
        <v>-3.7365875832718162E-3</v>
      </c>
      <c r="S6" s="77">
        <f>((N6-G6)/G6)</f>
        <v>2.8199870104347732E-3</v>
      </c>
      <c r="T6" s="77">
        <f>((O6-H6)/H6)</f>
        <v>0</v>
      </c>
      <c r="U6" s="78">
        <f>P6-I6</f>
        <v>7.4000000000000003E-3</v>
      </c>
      <c r="V6" s="80">
        <f>Q6-J6</f>
        <v>3.0999999999999917E-3</v>
      </c>
    </row>
    <row r="7" spans="1:25">
      <c r="A7" s="140">
        <v>2</v>
      </c>
      <c r="B7" s="138" t="s">
        <v>18</v>
      </c>
      <c r="C7" s="139" t="s">
        <v>19</v>
      </c>
      <c r="D7" s="4">
        <v>609065952.01999998</v>
      </c>
      <c r="E7" s="3">
        <f t="shared" si="0"/>
        <v>2.1245360841181411E-2</v>
      </c>
      <c r="F7" s="4">
        <v>225.0044</v>
      </c>
      <c r="G7" s="4">
        <v>227.607</v>
      </c>
      <c r="H7" s="58">
        <v>430</v>
      </c>
      <c r="I7" s="5">
        <v>-1.774E-3</v>
      </c>
      <c r="J7" s="5">
        <v>0.16309999999999999</v>
      </c>
      <c r="K7" s="4">
        <v>612314412.04999995</v>
      </c>
      <c r="L7" s="3">
        <f t="shared" ref="L7:L22" si="1">(K7/$K$23)</f>
        <v>2.2368284196770217E-2</v>
      </c>
      <c r="M7" s="4">
        <v>226.2234</v>
      </c>
      <c r="N7" s="4">
        <v>228.84280000000001</v>
      </c>
      <c r="O7" s="58">
        <v>430</v>
      </c>
      <c r="P7" s="5">
        <v>8.8000000000000003E-4</v>
      </c>
      <c r="Q7" s="5">
        <v>0.1694</v>
      </c>
      <c r="R7" s="77">
        <f t="shared" ref="R7:R23" si="2">((K7-D7)/D7)</f>
        <v>5.3335111234280603E-3</v>
      </c>
      <c r="S7" s="77">
        <f t="shared" ref="S7:S23" si="3">((N7-G7)/G7)</f>
        <v>5.4295342410383323E-3</v>
      </c>
      <c r="T7" s="77">
        <f t="shared" ref="T7:T23" si="4">((O7-H7)/H7)</f>
        <v>0</v>
      </c>
      <c r="U7" s="78">
        <f t="shared" ref="U7:U23" si="5">P7-I7</f>
        <v>2.6540000000000001E-3</v>
      </c>
      <c r="V7" s="80">
        <f t="shared" ref="V7:V23" si="6">Q7-J7</f>
        <v>6.3E-3</v>
      </c>
    </row>
    <row r="8" spans="1:25">
      <c r="A8" s="149">
        <v>3</v>
      </c>
      <c r="B8" s="138" t="s">
        <v>20</v>
      </c>
      <c r="C8" s="139" t="s">
        <v>21</v>
      </c>
      <c r="D8" s="4">
        <v>3901117298.1300001</v>
      </c>
      <c r="E8" s="3">
        <f t="shared" si="0"/>
        <v>0.13607827593656882</v>
      </c>
      <c r="F8" s="4">
        <v>36.093200000000003</v>
      </c>
      <c r="G8" s="4">
        <v>37.1815</v>
      </c>
      <c r="H8" s="60">
        <v>6542</v>
      </c>
      <c r="I8" s="6">
        <v>-0.35549999999999998</v>
      </c>
      <c r="J8" s="6">
        <v>0.34239999999999998</v>
      </c>
      <c r="K8" s="4">
        <v>3922188236.3299999</v>
      </c>
      <c r="L8" s="3">
        <f t="shared" si="1"/>
        <v>0.14328034652938135</v>
      </c>
      <c r="M8" s="4">
        <v>36.317700000000002</v>
      </c>
      <c r="N8" s="4">
        <v>37.412700000000001</v>
      </c>
      <c r="O8" s="60">
        <v>6548</v>
      </c>
      <c r="P8" s="6">
        <v>0.3251</v>
      </c>
      <c r="Q8" s="6">
        <v>0.34379999999999999</v>
      </c>
      <c r="R8" s="77">
        <f t="shared" si="2"/>
        <v>5.4012572782931086E-3</v>
      </c>
      <c r="S8" s="77">
        <f t="shared" si="3"/>
        <v>6.2181461210548579E-3</v>
      </c>
      <c r="T8" s="77">
        <f t="shared" si="4"/>
        <v>9.1715071843472939E-4</v>
      </c>
      <c r="U8" s="78">
        <f t="shared" si="5"/>
        <v>0.68059999999999998</v>
      </c>
      <c r="V8" s="80">
        <f t="shared" si="6"/>
        <v>1.4000000000000123E-3</v>
      </c>
      <c r="X8" s="99"/>
      <c r="Y8" s="99"/>
    </row>
    <row r="9" spans="1:25">
      <c r="A9" s="140">
        <v>4</v>
      </c>
      <c r="B9" s="138" t="s">
        <v>22</v>
      </c>
      <c r="C9" s="139" t="s">
        <v>23</v>
      </c>
      <c r="D9" s="4">
        <v>592304738.95000005</v>
      </c>
      <c r="E9" s="3">
        <f t="shared" si="0"/>
        <v>2.0660698345064111E-2</v>
      </c>
      <c r="F9" s="4">
        <v>205.8939</v>
      </c>
      <c r="G9" s="4">
        <v>205.8939</v>
      </c>
      <c r="H9" s="58">
        <v>1802</v>
      </c>
      <c r="I9" s="5">
        <v>-4.8999999999999998E-3</v>
      </c>
      <c r="J9" s="5">
        <v>0.189</v>
      </c>
      <c r="K9" s="4">
        <v>609182458.77999997</v>
      </c>
      <c r="L9" s="3">
        <f t="shared" si="1"/>
        <v>2.2253871699765913E-2</v>
      </c>
      <c r="M9" s="4">
        <v>208.98679999999999</v>
      </c>
      <c r="N9" s="4">
        <v>208.98679999999999</v>
      </c>
      <c r="O9" s="58">
        <v>1801</v>
      </c>
      <c r="P9" s="5">
        <v>1.4999999999999999E-2</v>
      </c>
      <c r="Q9" s="5">
        <v>0.20419999999999999</v>
      </c>
      <c r="R9" s="77">
        <f t="shared" si="2"/>
        <v>2.8494993742443572E-2</v>
      </c>
      <c r="S9" s="77">
        <f t="shared" si="3"/>
        <v>1.5021814633653478E-2</v>
      </c>
      <c r="T9" s="77">
        <f t="shared" si="4"/>
        <v>-5.5493895671476139E-4</v>
      </c>
      <c r="U9" s="78">
        <f t="shared" si="5"/>
        <v>1.9900000000000001E-2</v>
      </c>
      <c r="V9" s="80">
        <f t="shared" si="6"/>
        <v>1.5199999999999991E-2</v>
      </c>
    </row>
    <row r="10" spans="1:25">
      <c r="A10" s="81">
        <v>5</v>
      </c>
      <c r="B10" s="152" t="s">
        <v>264</v>
      </c>
      <c r="C10" s="153" t="s">
        <v>99</v>
      </c>
      <c r="D10" s="4">
        <v>634719429.44000006</v>
      </c>
      <c r="E10" s="3">
        <f t="shared" si="0"/>
        <v>2.2140202167989162E-2</v>
      </c>
      <c r="F10" s="4">
        <v>0.92079999999999995</v>
      </c>
      <c r="G10" s="4">
        <v>0.92889999999999995</v>
      </c>
      <c r="H10" s="58">
        <v>532</v>
      </c>
      <c r="I10" s="5">
        <v>-1.5699999999999999E-2</v>
      </c>
      <c r="J10" s="5">
        <v>-5.74E-2</v>
      </c>
      <c r="K10" s="4">
        <v>638312222.44000006</v>
      </c>
      <c r="L10" s="3">
        <f t="shared" si="1"/>
        <v>2.3318002837803577E-2</v>
      </c>
      <c r="M10" s="4">
        <v>0.9274</v>
      </c>
      <c r="N10" s="4">
        <v>0.93559999999999999</v>
      </c>
      <c r="O10" s="58">
        <v>529</v>
      </c>
      <c r="P10" s="5">
        <v>5.7000000000000002E-3</v>
      </c>
      <c r="Q10" s="5">
        <v>-0.05</v>
      </c>
      <c r="R10" s="77">
        <f>((K10-D10)/D10)</f>
        <v>5.6604427615676543E-3</v>
      </c>
      <c r="S10" s="77">
        <f>((N10-G10)/G10)</f>
        <v>7.212832382387813E-3</v>
      </c>
      <c r="T10" s="77">
        <f>((O10-H10)/H10)</f>
        <v>-5.6390977443609019E-3</v>
      </c>
      <c r="U10" s="78">
        <f>P10-I10</f>
        <v>2.1399999999999999E-2</v>
      </c>
      <c r="V10" s="80">
        <f>Q10-J10</f>
        <v>7.3999999999999969E-3</v>
      </c>
    </row>
    <row r="11" spans="1:25">
      <c r="A11" s="144">
        <v>6</v>
      </c>
      <c r="B11" s="138" t="s">
        <v>24</v>
      </c>
      <c r="C11" s="139" t="s">
        <v>25</v>
      </c>
      <c r="D11" s="7">
        <v>86992960.209999993</v>
      </c>
      <c r="E11" s="3">
        <f t="shared" si="0"/>
        <v>3.034477340548002E-3</v>
      </c>
      <c r="F11" s="4">
        <v>155.78720000000001</v>
      </c>
      <c r="G11" s="4">
        <v>156.37270000000001</v>
      </c>
      <c r="H11" s="60">
        <v>95</v>
      </c>
      <c r="I11" s="6">
        <v>2.111E-3</v>
      </c>
      <c r="J11" s="6">
        <v>0.1143</v>
      </c>
      <c r="K11" s="7">
        <v>87441216.109999999</v>
      </c>
      <c r="L11" s="3">
        <f t="shared" si="1"/>
        <v>3.1942902763163576E-3</v>
      </c>
      <c r="M11" s="4">
        <v>156.99760000000001</v>
      </c>
      <c r="N11" s="4">
        <v>157.59219999999999</v>
      </c>
      <c r="O11" s="60">
        <v>95</v>
      </c>
      <c r="P11" s="6">
        <v>1.444E-3</v>
      </c>
      <c r="Q11" s="6">
        <v>0.32950000000000002</v>
      </c>
      <c r="R11" s="77">
        <f t="shared" si="2"/>
        <v>5.1527836151100204E-3</v>
      </c>
      <c r="S11" s="77">
        <f t="shared" si="3"/>
        <v>7.7986758558238247E-3</v>
      </c>
      <c r="T11" s="77">
        <f t="shared" si="4"/>
        <v>0</v>
      </c>
      <c r="U11" s="78">
        <f t="shared" si="5"/>
        <v>-6.6700000000000006E-4</v>
      </c>
      <c r="V11" s="80">
        <f t="shared" si="6"/>
        <v>0.2152</v>
      </c>
    </row>
    <row r="12" spans="1:25">
      <c r="A12" s="146">
        <v>7</v>
      </c>
      <c r="B12" s="138" t="s">
        <v>26</v>
      </c>
      <c r="C12" s="139" t="s">
        <v>27</v>
      </c>
      <c r="D12" s="4">
        <v>1104946772.53</v>
      </c>
      <c r="E12" s="3">
        <f t="shared" si="0"/>
        <v>3.8542612363804886E-2</v>
      </c>
      <c r="F12" s="4">
        <v>297.89999999999998</v>
      </c>
      <c r="G12" s="4">
        <v>300.44</v>
      </c>
      <c r="H12" s="60">
        <v>1619</v>
      </c>
      <c r="I12" s="6">
        <v>-1.7100000000000001E-2</v>
      </c>
      <c r="J12" s="6">
        <v>0.19789999999999999</v>
      </c>
      <c r="K12" s="4">
        <v>1128169271.54</v>
      </c>
      <c r="L12" s="3">
        <f t="shared" si="1"/>
        <v>4.1212831825048257E-2</v>
      </c>
      <c r="M12" s="4">
        <v>303.38</v>
      </c>
      <c r="N12" s="4">
        <v>307.17</v>
      </c>
      <c r="O12" s="60">
        <v>1618</v>
      </c>
      <c r="P12" s="6">
        <v>2.0400000000000001E-2</v>
      </c>
      <c r="Q12" s="6">
        <v>0.21990000000000001</v>
      </c>
      <c r="R12" s="77">
        <f t="shared" si="2"/>
        <v>2.1016848582513493E-2</v>
      </c>
      <c r="S12" s="77">
        <f t="shared" si="3"/>
        <v>2.2400479297031081E-2</v>
      </c>
      <c r="T12" s="77">
        <f t="shared" si="4"/>
        <v>-6.1766522544780733E-4</v>
      </c>
      <c r="U12" s="78">
        <f t="shared" si="5"/>
        <v>3.7500000000000006E-2</v>
      </c>
      <c r="V12" s="80">
        <f t="shared" si="6"/>
        <v>2.200000000000002E-2</v>
      </c>
    </row>
    <row r="13" spans="1:25">
      <c r="A13" s="81">
        <v>8</v>
      </c>
      <c r="B13" s="152" t="s">
        <v>28</v>
      </c>
      <c r="C13" s="153" t="s">
        <v>29</v>
      </c>
      <c r="D13" s="2">
        <v>356247696.45999998</v>
      </c>
      <c r="E13" s="3">
        <f t="shared" si="0"/>
        <v>1.2426586702196471E-2</v>
      </c>
      <c r="F13" s="4">
        <v>178.96</v>
      </c>
      <c r="G13" s="4">
        <v>184.39</v>
      </c>
      <c r="H13" s="58">
        <v>2466</v>
      </c>
      <c r="I13" s="5">
        <v>7.4000000000000003E-3</v>
      </c>
      <c r="J13" s="5">
        <v>6.6570000000000004E-2</v>
      </c>
      <c r="K13" s="2">
        <v>360742679.69999999</v>
      </c>
      <c r="L13" s="3">
        <f t="shared" si="1"/>
        <v>1.3178188562341304E-2</v>
      </c>
      <c r="M13" s="4">
        <v>181.21</v>
      </c>
      <c r="N13" s="4">
        <v>186.67</v>
      </c>
      <c r="O13" s="58">
        <v>2466</v>
      </c>
      <c r="P13" s="5">
        <v>1.257E-2</v>
      </c>
      <c r="Q13" s="5">
        <v>7.9979999999999996E-2</v>
      </c>
      <c r="R13" s="77">
        <f t="shared" si="2"/>
        <v>1.2617578400271039E-2</v>
      </c>
      <c r="S13" s="77">
        <f t="shared" si="3"/>
        <v>1.2365095721026093E-2</v>
      </c>
      <c r="T13" s="77">
        <f t="shared" si="4"/>
        <v>0</v>
      </c>
      <c r="U13" s="78">
        <f t="shared" si="5"/>
        <v>5.1699999999999992E-3</v>
      </c>
      <c r="V13" s="80">
        <f t="shared" si="6"/>
        <v>1.3409999999999991E-2</v>
      </c>
    </row>
    <row r="14" spans="1:25">
      <c r="A14" s="146">
        <v>9</v>
      </c>
      <c r="B14" s="138" t="s">
        <v>30</v>
      </c>
      <c r="C14" s="139" t="s">
        <v>31</v>
      </c>
      <c r="D14" s="7">
        <v>54904092.590000004</v>
      </c>
      <c r="E14" s="3">
        <f t="shared" si="0"/>
        <v>1.9151575537321801E-3</v>
      </c>
      <c r="F14" s="4">
        <v>189.46</v>
      </c>
      <c r="G14" s="4">
        <v>194.66</v>
      </c>
      <c r="H14" s="58">
        <v>13</v>
      </c>
      <c r="I14" s="5">
        <v>-5.0000000000000001E-3</v>
      </c>
      <c r="J14" s="5">
        <v>4.9399999999999999E-2</v>
      </c>
      <c r="K14" s="7">
        <v>53448488.920400001</v>
      </c>
      <c r="L14" s="3">
        <f t="shared" si="1"/>
        <v>1.9525115962186529E-3</v>
      </c>
      <c r="M14" s="4">
        <v>190.08</v>
      </c>
      <c r="N14" s="4">
        <v>195.2801</v>
      </c>
      <c r="O14" s="58">
        <v>13</v>
      </c>
      <c r="P14" s="5">
        <v>3.2000000000000002E-3</v>
      </c>
      <c r="Q14" s="5">
        <v>5.28E-2</v>
      </c>
      <c r="R14" s="77">
        <f t="shared" si="2"/>
        <v>-2.6511751691623803E-2</v>
      </c>
      <c r="S14" s="77">
        <f t="shared" si="3"/>
        <v>3.1855542998048283E-3</v>
      </c>
      <c r="T14" s="77">
        <f t="shared" si="4"/>
        <v>0</v>
      </c>
      <c r="U14" s="78">
        <f t="shared" si="5"/>
        <v>8.2000000000000007E-3</v>
      </c>
      <c r="V14" s="80">
        <f t="shared" si="6"/>
        <v>3.4000000000000002E-3</v>
      </c>
    </row>
    <row r="15" spans="1:25" ht="14.25" customHeight="1">
      <c r="A15" s="144">
        <v>10</v>
      </c>
      <c r="B15" s="138" t="s">
        <v>236</v>
      </c>
      <c r="C15" s="139" t="s">
        <v>32</v>
      </c>
      <c r="D15" s="2">
        <v>541498824.34000003</v>
      </c>
      <c r="E15" s="3">
        <f t="shared" si="0"/>
        <v>1.8888492912834898E-2</v>
      </c>
      <c r="F15" s="4">
        <v>1.7889630000000001</v>
      </c>
      <c r="G15" s="4">
        <v>1.8082240000000001</v>
      </c>
      <c r="H15" s="58">
        <v>449</v>
      </c>
      <c r="I15" s="5">
        <v>5.6902218916701219E-3</v>
      </c>
      <c r="J15" s="5">
        <v>5.5622234023720907E-2</v>
      </c>
      <c r="K15" s="2">
        <v>544376015.98000002</v>
      </c>
      <c r="L15" s="3">
        <f t="shared" si="1"/>
        <v>1.9886445910327264E-2</v>
      </c>
      <c r="M15" s="4">
        <v>1.7992809999999999</v>
      </c>
      <c r="N15" s="4">
        <v>1.8196380000000001</v>
      </c>
      <c r="O15" s="58">
        <v>450</v>
      </c>
      <c r="P15" s="5">
        <v>5.7675871440605597E-3</v>
      </c>
      <c r="Q15" s="5">
        <v>6.1710627249660588E-2</v>
      </c>
      <c r="R15" s="77">
        <f t="shared" si="2"/>
        <v>5.3133848323804207E-3</v>
      </c>
      <c r="S15" s="77">
        <f t="shared" si="3"/>
        <v>6.3122710460651087E-3</v>
      </c>
      <c r="T15" s="77">
        <f t="shared" si="4"/>
        <v>2.2271714922048997E-3</v>
      </c>
      <c r="U15" s="78">
        <f t="shared" si="5"/>
        <v>7.7365252390437789E-5</v>
      </c>
      <c r="V15" s="80">
        <f t="shared" si="6"/>
        <v>6.0883932259396811E-3</v>
      </c>
    </row>
    <row r="16" spans="1:25">
      <c r="A16" s="144">
        <v>11</v>
      </c>
      <c r="B16" s="138" t="s">
        <v>33</v>
      </c>
      <c r="C16" s="139" t="s">
        <v>34</v>
      </c>
      <c r="D16" s="2">
        <v>1647694473.6500001</v>
      </c>
      <c r="E16" s="3">
        <f t="shared" si="0"/>
        <v>5.7474668437163333E-2</v>
      </c>
      <c r="F16" s="4">
        <v>3.34</v>
      </c>
      <c r="G16" s="4">
        <v>3.4</v>
      </c>
      <c r="H16" s="58">
        <v>3668</v>
      </c>
      <c r="I16" s="5">
        <v>-1.15E-2</v>
      </c>
      <c r="J16" s="5">
        <v>0.2029</v>
      </c>
      <c r="K16" s="2">
        <v>1650376568.3900001</v>
      </c>
      <c r="L16" s="3">
        <f t="shared" si="1"/>
        <v>6.0289438541622033E-2</v>
      </c>
      <c r="M16" s="4">
        <v>3.34</v>
      </c>
      <c r="N16" s="4">
        <v>3.4</v>
      </c>
      <c r="O16" s="58">
        <v>3668</v>
      </c>
      <c r="P16" s="5">
        <v>-7.4999999999999997E-3</v>
      </c>
      <c r="Q16" s="5">
        <v>0.20480000000000001</v>
      </c>
      <c r="R16" s="77">
        <f t="shared" si="2"/>
        <v>1.6277864512457755E-3</v>
      </c>
      <c r="S16" s="77">
        <f t="shared" si="3"/>
        <v>0</v>
      </c>
      <c r="T16" s="77">
        <f t="shared" si="4"/>
        <v>0</v>
      </c>
      <c r="U16" s="78">
        <f t="shared" si="5"/>
        <v>4.0000000000000001E-3</v>
      </c>
      <c r="V16" s="80">
        <f t="shared" si="6"/>
        <v>1.9000000000000128E-3</v>
      </c>
    </row>
    <row r="17" spans="1:22">
      <c r="A17" s="146">
        <v>12</v>
      </c>
      <c r="B17" s="138" t="s">
        <v>35</v>
      </c>
      <c r="C17" s="139" t="s">
        <v>36</v>
      </c>
      <c r="D17" s="4">
        <v>601646737.1099999</v>
      </c>
      <c r="E17" s="3">
        <f t="shared" si="0"/>
        <v>2.0986564733143431E-2</v>
      </c>
      <c r="F17" s="4">
        <v>19.923092</v>
      </c>
      <c r="G17" s="4">
        <v>20.105862999999999</v>
      </c>
      <c r="H17" s="58">
        <v>335</v>
      </c>
      <c r="I17" s="5">
        <v>5.7579970039338679E-3</v>
      </c>
      <c r="J17" s="5">
        <v>0.13939739154194752</v>
      </c>
      <c r="K17" s="4">
        <v>608678776.33000004</v>
      </c>
      <c r="L17" s="3">
        <f t="shared" si="1"/>
        <v>2.2235471818977864E-2</v>
      </c>
      <c r="M17" s="4">
        <v>20.239999999999998</v>
      </c>
      <c r="N17" s="4">
        <v>20.43</v>
      </c>
      <c r="O17" s="58">
        <v>333</v>
      </c>
      <c r="P17" s="5">
        <v>5.7579970039338679E-3</v>
      </c>
      <c r="Q17" s="5">
        <v>0.15670000000000001</v>
      </c>
      <c r="R17" s="77">
        <f t="shared" si="2"/>
        <v>1.1687986963543477E-2</v>
      </c>
      <c r="S17" s="77">
        <f t="shared" si="3"/>
        <v>1.6121516395491222E-2</v>
      </c>
      <c r="T17" s="77">
        <f t="shared" si="4"/>
        <v>-5.9701492537313433E-3</v>
      </c>
      <c r="U17" s="78">
        <f t="shared" si="5"/>
        <v>0</v>
      </c>
      <c r="V17" s="80">
        <f t="shared" si="6"/>
        <v>1.7302608458052482E-2</v>
      </c>
    </row>
    <row r="18" spans="1:22">
      <c r="A18" s="146">
        <v>13</v>
      </c>
      <c r="B18" s="138" t="s">
        <v>37</v>
      </c>
      <c r="C18" s="139" t="s">
        <v>38</v>
      </c>
      <c r="D18" s="4">
        <v>360233114.54000002</v>
      </c>
      <c r="E18" s="3">
        <f t="shared" si="0"/>
        <v>1.2565605547252168E-2</v>
      </c>
      <c r="F18" s="4">
        <v>2.596813</v>
      </c>
      <c r="G18" s="4">
        <v>2.6333920000000002</v>
      </c>
      <c r="H18" s="58">
        <v>21</v>
      </c>
      <c r="I18" s="5">
        <v>-1.0699999999999999E-2</v>
      </c>
      <c r="J18" s="5">
        <v>0.20469999999999999</v>
      </c>
      <c r="K18" s="4">
        <v>319325051.87</v>
      </c>
      <c r="L18" s="3">
        <f t="shared" si="1"/>
        <v>1.1665172941892624E-2</v>
      </c>
      <c r="M18" s="4">
        <v>3.4975499999999999</v>
      </c>
      <c r="N18" s="4">
        <v>3.554478</v>
      </c>
      <c r="O18" s="58">
        <v>21</v>
      </c>
      <c r="P18" s="5">
        <v>-0.22059999999999999</v>
      </c>
      <c r="Q18" s="5">
        <v>0.62429999999999997</v>
      </c>
      <c r="R18" s="77">
        <f t="shared" si="2"/>
        <v>-0.11355997274775141</v>
      </c>
      <c r="S18" s="77">
        <f t="shared" si="3"/>
        <v>0.34977170128868007</v>
      </c>
      <c r="T18" s="77">
        <f t="shared" si="4"/>
        <v>0</v>
      </c>
      <c r="U18" s="78">
        <f t="shared" si="5"/>
        <v>-0.2099</v>
      </c>
      <c r="V18" s="80">
        <f t="shared" si="6"/>
        <v>0.41959999999999997</v>
      </c>
    </row>
    <row r="19" spans="1:22">
      <c r="A19" s="81">
        <v>14</v>
      </c>
      <c r="B19" s="152" t="s">
        <v>39</v>
      </c>
      <c r="C19" s="153" t="s">
        <v>40</v>
      </c>
      <c r="D19" s="2">
        <v>1453823562.3499999</v>
      </c>
      <c r="E19" s="3">
        <f t="shared" si="0"/>
        <v>5.0712088040874938E-2</v>
      </c>
      <c r="F19" s="4">
        <v>25.76</v>
      </c>
      <c r="G19" s="4">
        <v>26.23</v>
      </c>
      <c r="H19" s="58">
        <v>8834</v>
      </c>
      <c r="I19" s="5">
        <v>-1.9599999999999999E-2</v>
      </c>
      <c r="J19" s="5">
        <v>2.2499999999999999E-2</v>
      </c>
      <c r="K19" s="2">
        <v>1472637346.1199999</v>
      </c>
      <c r="L19" s="3">
        <f t="shared" si="1"/>
        <v>5.379649740156664E-2</v>
      </c>
      <c r="M19" s="4">
        <v>26.08</v>
      </c>
      <c r="N19" s="4">
        <v>26.56</v>
      </c>
      <c r="O19" s="58">
        <v>8834</v>
      </c>
      <c r="P19" s="5">
        <v>5.4000000000000003E-3</v>
      </c>
      <c r="Q19" s="5">
        <v>3.5200000000000002E-2</v>
      </c>
      <c r="R19" s="77">
        <f t="shared" si="2"/>
        <v>1.2940898921454313E-2</v>
      </c>
      <c r="S19" s="77">
        <f t="shared" si="3"/>
        <v>1.2581014105985448E-2</v>
      </c>
      <c r="T19" s="77">
        <f t="shared" si="4"/>
        <v>0</v>
      </c>
      <c r="U19" s="78">
        <f t="shared" si="5"/>
        <v>2.5000000000000001E-2</v>
      </c>
      <c r="V19" s="80">
        <f t="shared" si="6"/>
        <v>1.2700000000000003E-2</v>
      </c>
    </row>
    <row r="20" spans="1:22" ht="12.75" customHeight="1">
      <c r="A20" s="150">
        <v>15</v>
      </c>
      <c r="B20" s="152" t="s">
        <v>41</v>
      </c>
      <c r="C20" s="153" t="s">
        <v>42</v>
      </c>
      <c r="D20" s="4">
        <v>638147838.44000006</v>
      </c>
      <c r="E20" s="3">
        <f t="shared" si="0"/>
        <v>2.2259791493372698E-2</v>
      </c>
      <c r="F20" s="4">
        <v>6278.7</v>
      </c>
      <c r="G20" s="4">
        <v>6358.16</v>
      </c>
      <c r="H20" s="58">
        <v>20</v>
      </c>
      <c r="I20" s="5">
        <v>-1.2200000000000001E-2</v>
      </c>
      <c r="J20" s="5">
        <v>0.1671</v>
      </c>
      <c r="K20" s="4">
        <v>644864971.66999996</v>
      </c>
      <c r="L20" s="3">
        <f t="shared" si="1"/>
        <v>2.3557379462234292E-2</v>
      </c>
      <c r="M20" s="4">
        <v>6343.35</v>
      </c>
      <c r="N20" s="4">
        <v>6426.07</v>
      </c>
      <c r="O20" s="58">
        <v>20</v>
      </c>
      <c r="P20" s="5">
        <v>1.4E-3</v>
      </c>
      <c r="Q20" s="5">
        <v>0.17960000000000001</v>
      </c>
      <c r="R20" s="77">
        <f t="shared" si="2"/>
        <v>1.0525982892021436E-2</v>
      </c>
      <c r="S20" s="77">
        <f t="shared" si="3"/>
        <v>1.0680762988034252E-2</v>
      </c>
      <c r="T20" s="77">
        <f t="shared" si="4"/>
        <v>0</v>
      </c>
      <c r="U20" s="78">
        <f t="shared" si="5"/>
        <v>1.3600000000000001E-2</v>
      </c>
      <c r="V20" s="80">
        <f t="shared" si="6"/>
        <v>1.2500000000000011E-2</v>
      </c>
    </row>
    <row r="21" spans="1:22">
      <c r="A21" s="81">
        <v>16</v>
      </c>
      <c r="B21" s="152" t="s">
        <v>43</v>
      </c>
      <c r="C21" s="153" t="s">
        <v>42</v>
      </c>
      <c r="D21" s="4">
        <v>11789504672.07</v>
      </c>
      <c r="E21" s="3">
        <f t="shared" si="0"/>
        <v>0.41123999801042316</v>
      </c>
      <c r="F21" s="4">
        <v>20147.150000000001</v>
      </c>
      <c r="G21" s="4">
        <v>20401.91</v>
      </c>
      <c r="H21" s="58">
        <v>17383</v>
      </c>
      <c r="I21" s="5">
        <v>-5.4999999999999997E-3</v>
      </c>
      <c r="J21" s="5">
        <v>0.111</v>
      </c>
      <c r="K21" s="4">
        <v>10395943605.68</v>
      </c>
      <c r="L21" s="3">
        <f t="shared" si="1"/>
        <v>0.37977126863128252</v>
      </c>
      <c r="M21" s="4">
        <v>20280.16</v>
      </c>
      <c r="N21" s="4">
        <v>20572.68</v>
      </c>
      <c r="O21" s="58">
        <v>17381</v>
      </c>
      <c r="P21" s="5">
        <v>2.5000000000000001E-3</v>
      </c>
      <c r="Q21" s="5">
        <v>0.1203</v>
      </c>
      <c r="R21" s="77">
        <f t="shared" si="2"/>
        <v>-0.11820352976248646</v>
      </c>
      <c r="S21" s="77">
        <f t="shared" si="3"/>
        <v>8.370294742011921E-3</v>
      </c>
      <c r="T21" s="77">
        <f t="shared" si="4"/>
        <v>-1.1505493873324512E-4</v>
      </c>
      <c r="U21" s="78">
        <f t="shared" si="5"/>
        <v>8.0000000000000002E-3</v>
      </c>
      <c r="V21" s="80">
        <f t="shared" si="6"/>
        <v>9.3000000000000027E-3</v>
      </c>
    </row>
    <row r="22" spans="1:22">
      <c r="A22" s="81">
        <v>17</v>
      </c>
      <c r="B22" s="153" t="s">
        <v>44</v>
      </c>
      <c r="C22" s="153" t="s">
        <v>45</v>
      </c>
      <c r="D22" s="4">
        <v>3172105305.54</v>
      </c>
      <c r="E22" s="3">
        <f t="shared" si="0"/>
        <v>0.11064897260947257</v>
      </c>
      <c r="F22" s="4">
        <v>1.2879</v>
      </c>
      <c r="G22" s="8">
        <v>1.3005</v>
      </c>
      <c r="H22" s="58">
        <v>3839</v>
      </c>
      <c r="I22" s="5">
        <v>1.8E-3</v>
      </c>
      <c r="J22" s="5">
        <v>0.1678</v>
      </c>
      <c r="K22" s="4">
        <v>3207186951.5</v>
      </c>
      <c r="L22" s="3">
        <f t="shared" si="1"/>
        <v>0.1171608372945941</v>
      </c>
      <c r="M22" s="4">
        <v>1.302</v>
      </c>
      <c r="N22" s="8">
        <v>1.3147</v>
      </c>
      <c r="O22" s="58">
        <v>3899</v>
      </c>
      <c r="P22" s="5">
        <v>1.09E-2</v>
      </c>
      <c r="Q22" s="5">
        <v>0.17810000000000001</v>
      </c>
      <c r="R22" s="77">
        <f t="shared" si="2"/>
        <v>1.1059420347341828E-2</v>
      </c>
      <c r="S22" s="77">
        <f t="shared" si="3"/>
        <v>1.0918877354863507E-2</v>
      </c>
      <c r="T22" s="77">
        <f t="shared" si="4"/>
        <v>1.5629070070330816E-2</v>
      </c>
      <c r="U22" s="78">
        <f t="shared" si="5"/>
        <v>9.1000000000000004E-3</v>
      </c>
      <c r="V22" s="80">
        <f t="shared" si="6"/>
        <v>1.0300000000000004E-2</v>
      </c>
    </row>
    <row r="23" spans="1:22">
      <c r="A23" s="72"/>
      <c r="B23" s="136"/>
      <c r="C23" s="69" t="s">
        <v>46</v>
      </c>
      <c r="D23" s="56">
        <f>SUM(D6:D22)</f>
        <v>28668185801.740002</v>
      </c>
      <c r="E23" s="97">
        <f>(D23/$D$198)</f>
        <v>9.256276526717469E-3</v>
      </c>
      <c r="F23" s="30"/>
      <c r="G23" s="31"/>
      <c r="H23" s="63">
        <f>SUM(H6:H22)</f>
        <v>49789</v>
      </c>
      <c r="I23" s="28"/>
      <c r="J23" s="58">
        <v>0</v>
      </c>
      <c r="K23" s="56">
        <f>SUM(K6:K22)</f>
        <v>27374223550.790398</v>
      </c>
      <c r="L23" s="97">
        <f>(K23/$K$198)</f>
        <v>8.6576860104624898E-3</v>
      </c>
      <c r="M23" s="30"/>
      <c r="N23" s="31"/>
      <c r="O23" s="63">
        <f>SUM(O6:O22)</f>
        <v>49847</v>
      </c>
      <c r="P23" s="28"/>
      <c r="Q23" s="63"/>
      <c r="R23" s="77">
        <f t="shared" si="2"/>
        <v>-4.5135826169756012E-2</v>
      </c>
      <c r="S23" s="77" t="e">
        <f t="shared" si="3"/>
        <v>#DIV/0!</v>
      </c>
      <c r="T23" s="77">
        <f t="shared" si="4"/>
        <v>1.1649159452891201E-3</v>
      </c>
      <c r="U23" s="78">
        <f t="shared" si="5"/>
        <v>0</v>
      </c>
      <c r="V23" s="80">
        <f t="shared" si="6"/>
        <v>0</v>
      </c>
    </row>
    <row r="24" spans="1:22" ht="9" customHeight="1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</row>
    <row r="25" spans="1:22" ht="15" customHeight="1">
      <c r="A25" s="158" t="s">
        <v>47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</row>
    <row r="26" spans="1:22">
      <c r="A26" s="146">
        <v>18</v>
      </c>
      <c r="B26" s="138" t="s">
        <v>48</v>
      </c>
      <c r="C26" s="139" t="s">
        <v>17</v>
      </c>
      <c r="D26" s="9">
        <v>957707458.27999997</v>
      </c>
      <c r="E26" s="3">
        <f>(D26/$K$61)</f>
        <v>8.208525579857911E-4</v>
      </c>
      <c r="F26" s="8">
        <v>100</v>
      </c>
      <c r="G26" s="8">
        <v>100</v>
      </c>
      <c r="H26" s="58">
        <v>801</v>
      </c>
      <c r="I26" s="5">
        <v>0.17019999999999999</v>
      </c>
      <c r="J26" s="5">
        <v>0.17019999999999999</v>
      </c>
      <c r="K26" s="9">
        <v>993789187.69000006</v>
      </c>
      <c r="L26" s="3">
        <f t="shared" ref="L26:L60" si="7">(K26/$K$61)</f>
        <v>8.5177826460599627E-4</v>
      </c>
      <c r="M26" s="8">
        <v>100</v>
      </c>
      <c r="N26" s="8">
        <v>100</v>
      </c>
      <c r="O26" s="58">
        <v>801</v>
      </c>
      <c r="P26" s="5">
        <v>0.1789</v>
      </c>
      <c r="Q26" s="5">
        <v>0.1789</v>
      </c>
      <c r="R26" s="77">
        <f>((K26-D26)/D26)</f>
        <v>3.767510537591643E-2</v>
      </c>
      <c r="S26" s="77">
        <f>((N26-G26)/G26)</f>
        <v>0</v>
      </c>
      <c r="T26" s="77">
        <f>((O26-H26)/H26)</f>
        <v>0</v>
      </c>
      <c r="U26" s="78">
        <f>P26-I26</f>
        <v>8.7000000000000133E-3</v>
      </c>
      <c r="V26" s="80">
        <f>Q26-J26</f>
        <v>8.7000000000000133E-3</v>
      </c>
    </row>
    <row r="27" spans="1:22">
      <c r="A27" s="140">
        <v>19</v>
      </c>
      <c r="B27" s="138" t="s">
        <v>49</v>
      </c>
      <c r="C27" s="139" t="s">
        <v>50</v>
      </c>
      <c r="D27" s="9">
        <v>6428112139.1700001</v>
      </c>
      <c r="E27" s="3">
        <f t="shared" ref="E27:E60" si="8">(D27/$K$61)</f>
        <v>5.5095449522066242E-3</v>
      </c>
      <c r="F27" s="8">
        <v>100</v>
      </c>
      <c r="G27" s="8">
        <v>100</v>
      </c>
      <c r="H27" s="58">
        <v>1487</v>
      </c>
      <c r="I27" s="5">
        <v>0.195351</v>
      </c>
      <c r="J27" s="5">
        <v>0.195351</v>
      </c>
      <c r="K27" s="9">
        <v>6548332291.1099997</v>
      </c>
      <c r="L27" s="3">
        <f t="shared" si="7"/>
        <v>5.6125858321624091E-3</v>
      </c>
      <c r="M27" s="8">
        <v>100</v>
      </c>
      <c r="N27" s="8">
        <v>100</v>
      </c>
      <c r="O27" s="58">
        <v>1528</v>
      </c>
      <c r="P27" s="5">
        <v>0.19950300000000001</v>
      </c>
      <c r="Q27" s="5">
        <v>0.19950300000000001</v>
      </c>
      <c r="R27" s="77">
        <f t="shared" ref="R27:R61" si="9">((K27-D27)/D27)</f>
        <v>1.8702248706495412E-2</v>
      </c>
      <c r="S27" s="77">
        <f t="shared" ref="S27:S61" si="10">((N27-G27)/G27)</f>
        <v>0</v>
      </c>
      <c r="T27" s="77">
        <f t="shared" ref="T27:T61" si="11">((O27-H27)/H27)</f>
        <v>2.7572293207800941E-2</v>
      </c>
      <c r="U27" s="78">
        <f t="shared" ref="U27:U61" si="12">P27-I27</f>
        <v>4.1520000000000168E-3</v>
      </c>
      <c r="V27" s="80">
        <f t="shared" ref="V27:V61" si="13">Q27-J27</f>
        <v>4.1520000000000168E-3</v>
      </c>
    </row>
    <row r="28" spans="1:22">
      <c r="A28" s="140">
        <v>20</v>
      </c>
      <c r="B28" s="138" t="s">
        <v>51</v>
      </c>
      <c r="C28" s="139" t="s">
        <v>19</v>
      </c>
      <c r="D28" s="9">
        <v>447018671.70999998</v>
      </c>
      <c r="E28" s="3">
        <f t="shared" si="8"/>
        <v>3.8314040155807658E-4</v>
      </c>
      <c r="F28" s="8">
        <v>100</v>
      </c>
      <c r="G28" s="8">
        <v>100</v>
      </c>
      <c r="H28" s="58">
        <v>1652</v>
      </c>
      <c r="I28" s="5">
        <v>0.1822</v>
      </c>
      <c r="J28" s="5">
        <v>0.1822</v>
      </c>
      <c r="K28" s="9">
        <v>460059648.76999998</v>
      </c>
      <c r="L28" s="3">
        <f t="shared" si="7"/>
        <v>3.9431784336014858E-4</v>
      </c>
      <c r="M28" s="8">
        <v>100</v>
      </c>
      <c r="N28" s="8">
        <v>100</v>
      </c>
      <c r="O28" s="58">
        <v>1655</v>
      </c>
      <c r="P28" s="5">
        <v>0.18410000000000001</v>
      </c>
      <c r="Q28" s="5">
        <v>0.18410000000000001</v>
      </c>
      <c r="R28" s="77">
        <f t="shared" si="9"/>
        <v>2.9173226724766965E-2</v>
      </c>
      <c r="S28" s="77">
        <f t="shared" si="10"/>
        <v>0</v>
      </c>
      <c r="T28" s="77">
        <f t="shared" si="11"/>
        <v>1.8159806295399517E-3</v>
      </c>
      <c r="U28" s="78">
        <f t="shared" si="12"/>
        <v>1.9000000000000128E-3</v>
      </c>
      <c r="V28" s="80">
        <f t="shared" si="13"/>
        <v>1.9000000000000128E-3</v>
      </c>
    </row>
    <row r="29" spans="1:22">
      <c r="A29" s="149">
        <v>21</v>
      </c>
      <c r="B29" s="138" t="s">
        <v>52</v>
      </c>
      <c r="C29" s="139" t="s">
        <v>21</v>
      </c>
      <c r="D29" s="9">
        <v>95236997753.119995</v>
      </c>
      <c r="E29" s="3">
        <f t="shared" si="8"/>
        <v>8.1627779490133001E-2</v>
      </c>
      <c r="F29" s="8">
        <v>1</v>
      </c>
      <c r="G29" s="8">
        <v>1</v>
      </c>
      <c r="H29" s="58">
        <v>59197</v>
      </c>
      <c r="I29" s="5">
        <v>0.19389999999999999</v>
      </c>
      <c r="J29" s="5">
        <v>0.19389999999999999</v>
      </c>
      <c r="K29" s="9">
        <v>96132389056.490005</v>
      </c>
      <c r="L29" s="3">
        <f t="shared" si="7"/>
        <v>8.2395220774436562E-2</v>
      </c>
      <c r="M29" s="8">
        <v>1</v>
      </c>
      <c r="N29" s="8">
        <v>1</v>
      </c>
      <c r="O29" s="58">
        <v>59354</v>
      </c>
      <c r="P29" s="5">
        <v>0.20050000000000001</v>
      </c>
      <c r="Q29" s="5">
        <v>0.20050000000000001</v>
      </c>
      <c r="R29" s="77">
        <f t="shared" si="9"/>
        <v>9.4017170269384831E-3</v>
      </c>
      <c r="S29" s="77">
        <f t="shared" si="10"/>
        <v>0</v>
      </c>
      <c r="T29" s="77">
        <f t="shared" si="11"/>
        <v>2.6521614270993464E-3</v>
      </c>
      <c r="U29" s="78">
        <f t="shared" si="12"/>
        <v>6.6000000000000225E-3</v>
      </c>
      <c r="V29" s="80">
        <f t="shared" si="13"/>
        <v>6.6000000000000225E-3</v>
      </c>
    </row>
    <row r="30" spans="1:22">
      <c r="A30" s="140">
        <v>22</v>
      </c>
      <c r="B30" s="138" t="s">
        <v>53</v>
      </c>
      <c r="C30" s="139" t="s">
        <v>23</v>
      </c>
      <c r="D30" s="9">
        <v>60040781008.260002</v>
      </c>
      <c r="E30" s="3">
        <f t="shared" si="8"/>
        <v>5.1461047157978626E-2</v>
      </c>
      <c r="F30" s="8">
        <v>1</v>
      </c>
      <c r="G30" s="8">
        <v>1</v>
      </c>
      <c r="H30" s="58">
        <v>28271</v>
      </c>
      <c r="I30" s="5">
        <v>0.1963</v>
      </c>
      <c r="J30" s="5">
        <v>0.1963</v>
      </c>
      <c r="K30" s="9">
        <v>61618530821.129997</v>
      </c>
      <c r="L30" s="3">
        <f t="shared" si="7"/>
        <v>5.2813338986301528E-2</v>
      </c>
      <c r="M30" s="8">
        <v>1</v>
      </c>
      <c r="N30" s="8">
        <v>1</v>
      </c>
      <c r="O30" s="58">
        <v>28376</v>
      </c>
      <c r="P30" s="5">
        <v>0.1976</v>
      </c>
      <c r="Q30" s="5">
        <v>0.1976</v>
      </c>
      <c r="R30" s="77">
        <f t="shared" si="9"/>
        <v>2.6277969512970508E-2</v>
      </c>
      <c r="S30" s="77">
        <f t="shared" si="10"/>
        <v>0</v>
      </c>
      <c r="T30" s="77">
        <f t="shared" si="11"/>
        <v>3.7140532701354745E-3</v>
      </c>
      <c r="U30" s="78">
        <f t="shared" si="12"/>
        <v>1.2999999999999956E-3</v>
      </c>
      <c r="V30" s="80">
        <f t="shared" si="13"/>
        <v>1.2999999999999956E-3</v>
      </c>
    </row>
    <row r="31" spans="1:22" ht="15" customHeight="1">
      <c r="A31" s="81">
        <v>23</v>
      </c>
      <c r="B31" s="152" t="s">
        <v>54</v>
      </c>
      <c r="C31" s="153" t="s">
        <v>40</v>
      </c>
      <c r="D31" s="9">
        <v>7901864011.6899996</v>
      </c>
      <c r="E31" s="3">
        <f t="shared" si="8"/>
        <v>6.7726999834590877E-3</v>
      </c>
      <c r="F31" s="8">
        <v>100</v>
      </c>
      <c r="G31" s="8">
        <v>100</v>
      </c>
      <c r="H31" s="58">
        <v>2891</v>
      </c>
      <c r="I31" s="5">
        <v>0.18870000000000001</v>
      </c>
      <c r="J31" s="5">
        <v>0.18870000000000001</v>
      </c>
      <c r="K31" s="9">
        <v>7787788548</v>
      </c>
      <c r="L31" s="3">
        <f t="shared" si="7"/>
        <v>6.6749257253975259E-3</v>
      </c>
      <c r="M31" s="8">
        <v>100</v>
      </c>
      <c r="N31" s="8">
        <v>100</v>
      </c>
      <c r="O31" s="58">
        <v>2891</v>
      </c>
      <c r="P31" s="5">
        <v>0.19</v>
      </c>
      <c r="Q31" s="5">
        <v>0.19</v>
      </c>
      <c r="R31" s="77">
        <f t="shared" si="9"/>
        <v>-1.4436525802169791E-2</v>
      </c>
      <c r="S31" s="77">
        <f t="shared" si="10"/>
        <v>0</v>
      </c>
      <c r="T31" s="77">
        <f t="shared" si="11"/>
        <v>0</v>
      </c>
      <c r="U31" s="78">
        <f t="shared" si="12"/>
        <v>1.2999999999999956E-3</v>
      </c>
      <c r="V31" s="80">
        <f t="shared" si="13"/>
        <v>1.2999999999999956E-3</v>
      </c>
    </row>
    <row r="32" spans="1:22" ht="15" customHeight="1">
      <c r="A32" s="81">
        <v>24</v>
      </c>
      <c r="B32" s="152" t="s">
        <v>268</v>
      </c>
      <c r="C32" s="153" t="s">
        <v>267</v>
      </c>
      <c r="D32" s="9">
        <v>311636389.72000003</v>
      </c>
      <c r="E32" s="3">
        <f t="shared" si="8"/>
        <v>2.6710403626023532E-4</v>
      </c>
      <c r="F32" s="8">
        <v>1</v>
      </c>
      <c r="G32" s="8">
        <v>1</v>
      </c>
      <c r="H32" s="58">
        <v>130</v>
      </c>
      <c r="I32" s="5">
        <v>0.20200000000000001</v>
      </c>
      <c r="J32" s="5">
        <v>0.20200000000000001</v>
      </c>
      <c r="K32" s="9">
        <v>337101455.68000001</v>
      </c>
      <c r="L32" s="3">
        <f t="shared" si="7"/>
        <v>2.8893018405915069E-4</v>
      </c>
      <c r="M32" s="8">
        <v>1</v>
      </c>
      <c r="N32" s="8">
        <v>1</v>
      </c>
      <c r="O32" s="58">
        <v>146</v>
      </c>
      <c r="P32" s="5">
        <v>0.2051</v>
      </c>
      <c r="Q32" s="5">
        <v>0.2051</v>
      </c>
      <c r="R32" s="77">
        <f t="shared" si="9"/>
        <v>8.1714032122114838E-2</v>
      </c>
      <c r="S32" s="77">
        <f t="shared" si="10"/>
        <v>0</v>
      </c>
      <c r="T32" s="77">
        <f t="shared" si="11"/>
        <v>0.12307692307692308</v>
      </c>
      <c r="U32" s="78">
        <f t="shared" si="12"/>
        <v>3.0999999999999917E-3</v>
      </c>
      <c r="V32" s="80">
        <f t="shared" si="13"/>
        <v>3.0999999999999917E-3</v>
      </c>
    </row>
    <row r="33" spans="1:22">
      <c r="A33" s="144">
        <v>25</v>
      </c>
      <c r="B33" s="138" t="s">
        <v>55</v>
      </c>
      <c r="C33" s="139" t="s">
        <v>56</v>
      </c>
      <c r="D33" s="9">
        <v>25459946623.389999</v>
      </c>
      <c r="E33" s="3">
        <f t="shared" si="8"/>
        <v>2.1821760007512955E-2</v>
      </c>
      <c r="F33" s="8">
        <v>100</v>
      </c>
      <c r="G33" s="8">
        <v>100</v>
      </c>
      <c r="H33" s="58">
        <v>2646</v>
      </c>
      <c r="I33" s="5">
        <v>0.20910400870350601</v>
      </c>
      <c r="J33" s="5">
        <v>0.20910400870350601</v>
      </c>
      <c r="K33" s="9">
        <v>25970402978.91</v>
      </c>
      <c r="L33" s="3">
        <f t="shared" si="7"/>
        <v>2.2259272946924764E-2</v>
      </c>
      <c r="M33" s="8">
        <v>100</v>
      </c>
      <c r="N33" s="8">
        <v>100</v>
      </c>
      <c r="O33" s="58">
        <v>2672</v>
      </c>
      <c r="P33" s="5">
        <v>0.211599840296811</v>
      </c>
      <c r="Q33" s="5">
        <v>0.211599840296811</v>
      </c>
      <c r="R33" s="77">
        <f t="shared" si="9"/>
        <v>2.004938828312567E-2</v>
      </c>
      <c r="S33" s="77">
        <f t="shared" si="10"/>
        <v>0</v>
      </c>
      <c r="T33" s="77">
        <f t="shared" si="11"/>
        <v>9.8261526832955411E-3</v>
      </c>
      <c r="U33" s="78">
        <f t="shared" si="12"/>
        <v>2.4958315933049924E-3</v>
      </c>
      <c r="V33" s="80">
        <f t="shared" si="13"/>
        <v>2.4958315933049924E-3</v>
      </c>
    </row>
    <row r="34" spans="1:22">
      <c r="A34" s="149">
        <v>26</v>
      </c>
      <c r="B34" s="138" t="s">
        <v>57</v>
      </c>
      <c r="C34" s="139" t="s">
        <v>58</v>
      </c>
      <c r="D34" s="9">
        <v>9270676942.1399994</v>
      </c>
      <c r="E34" s="3">
        <f t="shared" si="8"/>
        <v>7.9459116835974928E-3</v>
      </c>
      <c r="F34" s="8">
        <v>100</v>
      </c>
      <c r="G34" s="8">
        <v>100</v>
      </c>
      <c r="H34" s="58">
        <v>6084</v>
      </c>
      <c r="I34" s="5">
        <v>0.1903</v>
      </c>
      <c r="J34" s="5">
        <v>0.1903</v>
      </c>
      <c r="K34" s="9">
        <v>8663668780.7700005</v>
      </c>
      <c r="L34" s="3">
        <f t="shared" si="7"/>
        <v>7.425644040622595E-3</v>
      </c>
      <c r="M34" s="8">
        <v>100</v>
      </c>
      <c r="N34" s="8">
        <v>100</v>
      </c>
      <c r="O34" s="58">
        <v>6096</v>
      </c>
      <c r="P34" s="5">
        <v>0.19189999999999999</v>
      </c>
      <c r="Q34" s="5">
        <v>0.19189999999999999</v>
      </c>
      <c r="R34" s="77">
        <f t="shared" si="9"/>
        <v>-6.5476142158598399E-2</v>
      </c>
      <c r="S34" s="77">
        <f t="shared" si="10"/>
        <v>0</v>
      </c>
      <c r="T34" s="77">
        <f t="shared" si="11"/>
        <v>1.9723865877712033E-3</v>
      </c>
      <c r="U34" s="78">
        <f t="shared" si="12"/>
        <v>1.5999999999999903E-3</v>
      </c>
      <c r="V34" s="80">
        <f t="shared" si="13"/>
        <v>1.5999999999999903E-3</v>
      </c>
    </row>
    <row r="35" spans="1:22">
      <c r="A35" s="81">
        <v>27</v>
      </c>
      <c r="B35" s="152" t="s">
        <v>59</v>
      </c>
      <c r="C35" s="153" t="s">
        <v>60</v>
      </c>
      <c r="D35" s="9">
        <v>44514190.369999997</v>
      </c>
      <c r="E35" s="3">
        <f t="shared" si="8"/>
        <v>3.8153182076606605E-5</v>
      </c>
      <c r="F35" s="8">
        <v>100</v>
      </c>
      <c r="G35" s="8">
        <v>100</v>
      </c>
      <c r="H35" s="58">
        <v>0</v>
      </c>
      <c r="I35" s="5">
        <v>0</v>
      </c>
      <c r="J35" s="5">
        <v>0</v>
      </c>
      <c r="K35" s="9">
        <v>44514190.369999997</v>
      </c>
      <c r="L35" s="3">
        <f t="shared" si="7"/>
        <v>3.8153182076606605E-5</v>
      </c>
      <c r="M35" s="8">
        <v>100</v>
      </c>
      <c r="N35" s="8">
        <v>100</v>
      </c>
      <c r="O35" s="58">
        <v>0</v>
      </c>
      <c r="P35" s="5">
        <v>0</v>
      </c>
      <c r="Q35" s="5">
        <v>0</v>
      </c>
      <c r="R35" s="77">
        <f t="shared" si="9"/>
        <v>0</v>
      </c>
      <c r="S35" s="77">
        <f t="shared" si="10"/>
        <v>0</v>
      </c>
      <c r="T35" s="77" t="e">
        <f t="shared" si="11"/>
        <v>#DIV/0!</v>
      </c>
      <c r="U35" s="78">
        <f t="shared" si="12"/>
        <v>0</v>
      </c>
      <c r="V35" s="80">
        <f t="shared" si="13"/>
        <v>0</v>
      </c>
    </row>
    <row r="36" spans="1:22">
      <c r="A36" s="140">
        <v>28</v>
      </c>
      <c r="B36" s="138" t="s">
        <v>61</v>
      </c>
      <c r="C36" s="139" t="s">
        <v>62</v>
      </c>
      <c r="D36" s="9">
        <v>5779725198.6599998</v>
      </c>
      <c r="E36" s="3">
        <f t="shared" si="8"/>
        <v>4.953811493016407E-3</v>
      </c>
      <c r="F36" s="8">
        <v>1</v>
      </c>
      <c r="G36" s="8">
        <v>1</v>
      </c>
      <c r="H36" s="58">
        <v>2397</v>
      </c>
      <c r="I36" s="5">
        <v>0.1744</v>
      </c>
      <c r="J36" s="5">
        <v>0.1744</v>
      </c>
      <c r="K36" s="9">
        <v>6161850202.9899998</v>
      </c>
      <c r="L36" s="3">
        <f t="shared" si="7"/>
        <v>5.2813314309293332E-3</v>
      </c>
      <c r="M36" s="8">
        <v>1</v>
      </c>
      <c r="N36" s="8">
        <v>1</v>
      </c>
      <c r="O36" s="58">
        <v>2431</v>
      </c>
      <c r="P36" s="5">
        <v>0.19359999999999999</v>
      </c>
      <c r="Q36" s="5">
        <v>0.19359999999999999</v>
      </c>
      <c r="R36" s="77">
        <f t="shared" si="9"/>
        <v>6.6114735769547253E-2</v>
      </c>
      <c r="S36" s="77">
        <f t="shared" si="10"/>
        <v>0</v>
      </c>
      <c r="T36" s="77">
        <f t="shared" si="11"/>
        <v>1.4184397163120567E-2</v>
      </c>
      <c r="U36" s="78">
        <f t="shared" si="12"/>
        <v>1.9199999999999995E-2</v>
      </c>
      <c r="V36" s="80">
        <f t="shared" si="13"/>
        <v>1.9199999999999995E-2</v>
      </c>
    </row>
    <row r="37" spans="1:22">
      <c r="A37" s="81">
        <v>29</v>
      </c>
      <c r="B37" s="152" t="s">
        <v>63</v>
      </c>
      <c r="C37" s="153" t="s">
        <v>64</v>
      </c>
      <c r="D37" s="9">
        <v>14944911637.4</v>
      </c>
      <c r="E37" s="3">
        <f t="shared" si="8"/>
        <v>1.2809307101422616E-2</v>
      </c>
      <c r="F37" s="11">
        <v>100</v>
      </c>
      <c r="G37" s="11">
        <v>100</v>
      </c>
      <c r="H37" s="58">
        <v>2779</v>
      </c>
      <c r="I37" s="5">
        <v>0.17130000000000001</v>
      </c>
      <c r="J37" s="5">
        <v>0.17130000000000001</v>
      </c>
      <c r="K37" s="9">
        <v>15108483344.18</v>
      </c>
      <c r="L37" s="3">
        <f t="shared" si="7"/>
        <v>1.2949504666726747E-2</v>
      </c>
      <c r="M37" s="11">
        <v>100</v>
      </c>
      <c r="N37" s="11">
        <v>100</v>
      </c>
      <c r="O37" s="58">
        <v>2825</v>
      </c>
      <c r="P37" s="5">
        <v>0.1729</v>
      </c>
      <c r="Q37" s="5">
        <v>0.1729</v>
      </c>
      <c r="R37" s="77">
        <f t="shared" si="9"/>
        <v>1.0944976507633446E-2</v>
      </c>
      <c r="S37" s="77">
        <f t="shared" si="10"/>
        <v>0</v>
      </c>
      <c r="T37" s="77">
        <f t="shared" si="11"/>
        <v>1.6552716804605974E-2</v>
      </c>
      <c r="U37" s="78">
        <f t="shared" si="12"/>
        <v>1.5999999999999903E-3</v>
      </c>
      <c r="V37" s="80">
        <f t="shared" si="13"/>
        <v>1.5999999999999903E-3</v>
      </c>
    </row>
    <row r="38" spans="1:22">
      <c r="A38" s="81">
        <v>30</v>
      </c>
      <c r="B38" s="152" t="s">
        <v>65</v>
      </c>
      <c r="C38" s="153" t="s">
        <v>64</v>
      </c>
      <c r="D38" s="9">
        <v>528165123.38</v>
      </c>
      <c r="E38" s="3">
        <f t="shared" si="8"/>
        <v>4.5269115199748233E-4</v>
      </c>
      <c r="F38" s="11">
        <v>1000000</v>
      </c>
      <c r="G38" s="11">
        <v>1000000</v>
      </c>
      <c r="H38" s="58">
        <v>3</v>
      </c>
      <c r="I38" s="5">
        <v>0.1552</v>
      </c>
      <c r="J38" s="5">
        <v>0.1552</v>
      </c>
      <c r="K38" s="9">
        <v>429428304.74000001</v>
      </c>
      <c r="L38" s="3">
        <f t="shared" si="7"/>
        <v>3.6806367056011066E-4</v>
      </c>
      <c r="M38" s="11">
        <v>1000000</v>
      </c>
      <c r="N38" s="11">
        <v>1000000</v>
      </c>
      <c r="O38" s="58">
        <v>3</v>
      </c>
      <c r="P38" s="5">
        <v>0.17349999999999999</v>
      </c>
      <c r="Q38" s="5">
        <v>0.17349999999999999</v>
      </c>
      <c r="R38" s="77">
        <f t="shared" si="9"/>
        <v>-0.18694308705605617</v>
      </c>
      <c r="S38" s="77">
        <f t="shared" si="10"/>
        <v>0</v>
      </c>
      <c r="T38" s="77">
        <f t="shared" si="11"/>
        <v>0</v>
      </c>
      <c r="U38" s="78">
        <f t="shared" si="12"/>
        <v>1.8299999999999983E-2</v>
      </c>
      <c r="V38" s="80">
        <f t="shared" si="13"/>
        <v>1.8299999999999983E-2</v>
      </c>
    </row>
    <row r="39" spans="1:22">
      <c r="A39" s="151">
        <v>31</v>
      </c>
      <c r="B39" s="138" t="s">
        <v>66</v>
      </c>
      <c r="C39" s="139" t="s">
        <v>67</v>
      </c>
      <c r="D39" s="9">
        <v>3340392981.0700002</v>
      </c>
      <c r="E39" s="3">
        <f t="shared" si="8"/>
        <v>2.8630560402166526E-3</v>
      </c>
      <c r="F39" s="8">
        <v>1</v>
      </c>
      <c r="G39" s="8">
        <v>1</v>
      </c>
      <c r="H39" s="58">
        <v>571</v>
      </c>
      <c r="I39" s="5">
        <v>0.19159999999999999</v>
      </c>
      <c r="J39" s="5">
        <v>0.19159999999999999</v>
      </c>
      <c r="K39" s="9">
        <v>3375456833.1599998</v>
      </c>
      <c r="L39" s="3">
        <f t="shared" si="7"/>
        <v>2.893109322596434E-3</v>
      </c>
      <c r="M39" s="8">
        <v>1</v>
      </c>
      <c r="N39" s="8">
        <v>1</v>
      </c>
      <c r="O39" s="58">
        <v>571</v>
      </c>
      <c r="P39" s="5">
        <v>0.19689999999999999</v>
      </c>
      <c r="Q39" s="5">
        <v>0.19689999999999999</v>
      </c>
      <c r="R39" s="77">
        <f t="shared" si="9"/>
        <v>1.049692425074129E-2</v>
      </c>
      <c r="S39" s="77">
        <f t="shared" si="10"/>
        <v>0</v>
      </c>
      <c r="T39" s="77">
        <f t="shared" si="11"/>
        <v>0</v>
      </c>
      <c r="U39" s="78">
        <f t="shared" si="12"/>
        <v>5.2999999999999992E-3</v>
      </c>
      <c r="V39" s="80">
        <f t="shared" si="13"/>
        <v>5.2999999999999992E-3</v>
      </c>
    </row>
    <row r="40" spans="1:22">
      <c r="A40" s="146">
        <v>32</v>
      </c>
      <c r="B40" s="138" t="s">
        <v>68</v>
      </c>
      <c r="C40" s="139" t="s">
        <v>27</v>
      </c>
      <c r="D40" s="9">
        <v>265510182566.10001</v>
      </c>
      <c r="E40" s="3">
        <f t="shared" si="8"/>
        <v>0.22756919208092688</v>
      </c>
      <c r="F40" s="8">
        <v>100</v>
      </c>
      <c r="G40" s="8">
        <v>100</v>
      </c>
      <c r="H40" s="58">
        <v>14847</v>
      </c>
      <c r="I40" s="5">
        <v>0.20899999999999999</v>
      </c>
      <c r="J40" s="5">
        <v>0.20899999999999999</v>
      </c>
      <c r="K40" s="9">
        <v>269453989398.95001</v>
      </c>
      <c r="L40" s="3">
        <f t="shared" si="7"/>
        <v>0.23094943507575619</v>
      </c>
      <c r="M40" s="8">
        <v>100</v>
      </c>
      <c r="N40" s="8">
        <v>100</v>
      </c>
      <c r="O40" s="58">
        <v>14983</v>
      </c>
      <c r="P40" s="5">
        <v>0.20130000000000001</v>
      </c>
      <c r="Q40" s="5">
        <v>0.20130000000000001</v>
      </c>
      <c r="R40" s="77">
        <f t="shared" si="9"/>
        <v>1.4853693348910176E-2</v>
      </c>
      <c r="S40" s="77">
        <f t="shared" si="10"/>
        <v>0</v>
      </c>
      <c r="T40" s="77">
        <f t="shared" si="11"/>
        <v>9.1600996834377314E-3</v>
      </c>
      <c r="U40" s="78">
        <f t="shared" si="12"/>
        <v>-7.6999999999999846E-3</v>
      </c>
      <c r="V40" s="80">
        <f t="shared" si="13"/>
        <v>-7.6999999999999846E-3</v>
      </c>
    </row>
    <row r="41" spans="1:22">
      <c r="A41" s="81">
        <v>33</v>
      </c>
      <c r="B41" s="152" t="s">
        <v>69</v>
      </c>
      <c r="C41" s="153" t="s">
        <v>70</v>
      </c>
      <c r="D41" s="9">
        <v>596576535.20000005</v>
      </c>
      <c r="E41" s="3">
        <f t="shared" si="8"/>
        <v>5.1132667989523884E-4</v>
      </c>
      <c r="F41" s="8">
        <v>1</v>
      </c>
      <c r="G41" s="8">
        <v>1</v>
      </c>
      <c r="H41" s="59">
        <v>584</v>
      </c>
      <c r="I41" s="12">
        <v>3.9800000000000002E-2</v>
      </c>
      <c r="J41" s="12">
        <v>0.54669999999999996</v>
      </c>
      <c r="K41" s="9">
        <v>595170475.87</v>
      </c>
      <c r="L41" s="3">
        <f t="shared" si="7"/>
        <v>5.1012154424788449E-4</v>
      </c>
      <c r="M41" s="8">
        <v>1</v>
      </c>
      <c r="N41" s="8">
        <v>1</v>
      </c>
      <c r="O41" s="59">
        <v>596</v>
      </c>
      <c r="P41" s="12">
        <v>2.1399999999999999E-2</v>
      </c>
      <c r="Q41" s="12">
        <v>0.55640000000000001</v>
      </c>
      <c r="R41" s="77">
        <f t="shared" si="9"/>
        <v>-2.3568800431090818E-3</v>
      </c>
      <c r="S41" s="77">
        <f t="shared" si="10"/>
        <v>0</v>
      </c>
      <c r="T41" s="77">
        <f t="shared" si="11"/>
        <v>2.0547945205479451E-2</v>
      </c>
      <c r="U41" s="78">
        <f t="shared" si="12"/>
        <v>-1.8400000000000003E-2</v>
      </c>
      <c r="V41" s="80">
        <f t="shared" si="13"/>
        <v>9.7000000000000419E-3</v>
      </c>
    </row>
    <row r="42" spans="1:22">
      <c r="A42" s="146">
        <v>34</v>
      </c>
      <c r="B42" s="138" t="s">
        <v>71</v>
      </c>
      <c r="C42" s="139" t="s">
        <v>72</v>
      </c>
      <c r="D42" s="9">
        <v>738144158.48999989</v>
      </c>
      <c r="E42" s="3">
        <f t="shared" si="8"/>
        <v>6.3266451087993884E-4</v>
      </c>
      <c r="F42" s="8">
        <v>10</v>
      </c>
      <c r="G42" s="8">
        <v>10</v>
      </c>
      <c r="H42" s="58">
        <v>363</v>
      </c>
      <c r="I42" s="5">
        <v>0.14699999999999999</v>
      </c>
      <c r="J42" s="5">
        <v>0.14699999999999999</v>
      </c>
      <c r="K42" s="9">
        <v>758018499.90999997</v>
      </c>
      <c r="L42" s="3">
        <f t="shared" si="7"/>
        <v>6.4969883994550658E-4</v>
      </c>
      <c r="M42" s="8">
        <v>10</v>
      </c>
      <c r="N42" s="8">
        <v>10</v>
      </c>
      <c r="O42" s="58">
        <v>364</v>
      </c>
      <c r="P42" s="5">
        <v>0.1452</v>
      </c>
      <c r="Q42" s="5">
        <v>0.1452</v>
      </c>
      <c r="R42" s="77">
        <f t="shared" si="9"/>
        <v>2.692474253356748E-2</v>
      </c>
      <c r="S42" s="77">
        <f t="shared" si="10"/>
        <v>0</v>
      </c>
      <c r="T42" s="77">
        <f t="shared" si="11"/>
        <v>2.7548209366391185E-3</v>
      </c>
      <c r="U42" s="78">
        <f t="shared" si="12"/>
        <v>-1.799999999999996E-3</v>
      </c>
      <c r="V42" s="80">
        <f t="shared" si="13"/>
        <v>-1.799999999999996E-3</v>
      </c>
    </row>
    <row r="43" spans="1:22">
      <c r="A43" s="140">
        <v>35</v>
      </c>
      <c r="B43" s="138" t="s">
        <v>73</v>
      </c>
      <c r="C43" s="139" t="s">
        <v>74</v>
      </c>
      <c r="D43" s="9">
        <v>3546106697.3400002</v>
      </c>
      <c r="E43" s="3">
        <f t="shared" si="8"/>
        <v>3.0393735876608993E-3</v>
      </c>
      <c r="F43" s="8">
        <v>100</v>
      </c>
      <c r="G43" s="8">
        <v>100</v>
      </c>
      <c r="H43" s="58">
        <v>682</v>
      </c>
      <c r="I43" s="5">
        <v>0.1883</v>
      </c>
      <c r="J43" s="5">
        <v>0.1883</v>
      </c>
      <c r="K43" s="9">
        <v>3436153495.1500001</v>
      </c>
      <c r="L43" s="3">
        <f t="shared" si="7"/>
        <v>2.9451325263680438E-3</v>
      </c>
      <c r="M43" s="8">
        <v>100</v>
      </c>
      <c r="N43" s="8">
        <v>100</v>
      </c>
      <c r="O43" s="58">
        <v>682</v>
      </c>
      <c r="P43" s="5">
        <v>0.189</v>
      </c>
      <c r="Q43" s="5">
        <v>0.189</v>
      </c>
      <c r="R43" s="77">
        <f t="shared" si="9"/>
        <v>-3.1006738255359878E-2</v>
      </c>
      <c r="S43" s="77">
        <f t="shared" si="10"/>
        <v>0</v>
      </c>
      <c r="T43" s="77">
        <f t="shared" si="11"/>
        <v>0</v>
      </c>
      <c r="U43" s="78">
        <f t="shared" si="12"/>
        <v>7.0000000000000617E-4</v>
      </c>
      <c r="V43" s="80">
        <f t="shared" si="13"/>
        <v>7.0000000000000617E-4</v>
      </c>
    </row>
    <row r="44" spans="1:22" ht="15.75" customHeight="1">
      <c r="A44" s="144">
        <v>36</v>
      </c>
      <c r="B44" s="138" t="s">
        <v>237</v>
      </c>
      <c r="C44" s="139" t="s">
        <v>32</v>
      </c>
      <c r="D44" s="9">
        <v>27630176514.200001</v>
      </c>
      <c r="E44" s="3">
        <f t="shared" si="8"/>
        <v>2.3681867435816791E-2</v>
      </c>
      <c r="F44" s="8">
        <v>100</v>
      </c>
      <c r="G44" s="8">
        <v>100</v>
      </c>
      <c r="H44" s="58">
        <v>11656</v>
      </c>
      <c r="I44" s="5">
        <v>0.2082</v>
      </c>
      <c r="J44" s="5">
        <v>0.2082</v>
      </c>
      <c r="K44" s="9">
        <v>28304715289.900002</v>
      </c>
      <c r="L44" s="3">
        <f t="shared" si="7"/>
        <v>2.4260015673785371E-2</v>
      </c>
      <c r="M44" s="8">
        <v>100</v>
      </c>
      <c r="N44" s="8">
        <v>100</v>
      </c>
      <c r="O44" s="58">
        <v>11722</v>
      </c>
      <c r="P44" s="5">
        <v>0.18582997000000001</v>
      </c>
      <c r="Q44" s="5">
        <v>0.18582997000000001</v>
      </c>
      <c r="R44" s="77">
        <f t="shared" si="9"/>
        <v>2.4413118582624127E-2</v>
      </c>
      <c r="S44" s="77">
        <f t="shared" si="10"/>
        <v>0</v>
      </c>
      <c r="T44" s="77">
        <f t="shared" si="11"/>
        <v>5.6623198352779682E-3</v>
      </c>
      <c r="U44" s="78">
        <f t="shared" si="12"/>
        <v>-2.2370029999999985E-2</v>
      </c>
      <c r="V44" s="80">
        <f t="shared" si="13"/>
        <v>-2.2370029999999985E-2</v>
      </c>
    </row>
    <row r="45" spans="1:22">
      <c r="A45" s="144">
        <v>37</v>
      </c>
      <c r="B45" s="138" t="s">
        <v>75</v>
      </c>
      <c r="C45" s="139" t="s">
        <v>34</v>
      </c>
      <c r="D45" s="9">
        <v>4190672358.1399999</v>
      </c>
      <c r="E45" s="3">
        <f t="shared" si="8"/>
        <v>3.5918318220446114E-3</v>
      </c>
      <c r="F45" s="8">
        <v>1</v>
      </c>
      <c r="G45" s="8">
        <v>1</v>
      </c>
      <c r="H45" s="58">
        <v>957</v>
      </c>
      <c r="I45" s="5">
        <v>0.1709</v>
      </c>
      <c r="J45" s="5">
        <v>0.1709</v>
      </c>
      <c r="K45" s="9">
        <v>4148388725.2399998</v>
      </c>
      <c r="L45" s="3">
        <f t="shared" si="7"/>
        <v>3.5555904542586359E-3</v>
      </c>
      <c r="M45" s="8">
        <v>1</v>
      </c>
      <c r="N45" s="8">
        <v>1</v>
      </c>
      <c r="O45" s="58">
        <v>958</v>
      </c>
      <c r="P45" s="5">
        <v>0.17319999999999999</v>
      </c>
      <c r="Q45" s="5">
        <v>0.17319999999999999</v>
      </c>
      <c r="R45" s="77">
        <f t="shared" si="9"/>
        <v>-1.008994005887098E-2</v>
      </c>
      <c r="S45" s="77">
        <f t="shared" si="10"/>
        <v>0</v>
      </c>
      <c r="T45" s="77">
        <f t="shared" si="11"/>
        <v>1.0449320794148381E-3</v>
      </c>
      <c r="U45" s="78">
        <f t="shared" si="12"/>
        <v>2.2999999999999965E-3</v>
      </c>
      <c r="V45" s="80">
        <f t="shared" si="13"/>
        <v>2.2999999999999965E-3</v>
      </c>
    </row>
    <row r="46" spans="1:22">
      <c r="A46" s="146">
        <v>38</v>
      </c>
      <c r="B46" s="138" t="s">
        <v>76</v>
      </c>
      <c r="C46" s="139" t="s">
        <v>36</v>
      </c>
      <c r="D46" s="13">
        <v>6589810344.0699997</v>
      </c>
      <c r="E46" s="3">
        <f t="shared" si="8"/>
        <v>5.6481367361238682E-3</v>
      </c>
      <c r="F46" s="8">
        <v>10</v>
      </c>
      <c r="G46" s="8">
        <v>10</v>
      </c>
      <c r="H46" s="58">
        <v>2265</v>
      </c>
      <c r="I46" s="5">
        <v>0.2281</v>
      </c>
      <c r="J46" s="5">
        <v>0.2281</v>
      </c>
      <c r="K46" s="13">
        <v>6770426516</v>
      </c>
      <c r="L46" s="3">
        <f t="shared" si="7"/>
        <v>5.8029431391236003E-3</v>
      </c>
      <c r="M46" s="8">
        <v>10</v>
      </c>
      <c r="N46" s="8">
        <v>10</v>
      </c>
      <c r="O46" s="58">
        <v>2294</v>
      </c>
      <c r="P46" s="5">
        <v>0.22090000000000001</v>
      </c>
      <c r="Q46" s="5">
        <v>0.22090000000000001</v>
      </c>
      <c r="R46" s="77">
        <f t="shared" si="9"/>
        <v>2.7408402138998148E-2</v>
      </c>
      <c r="S46" s="77">
        <f t="shared" si="10"/>
        <v>0</v>
      </c>
      <c r="T46" s="77">
        <f t="shared" si="11"/>
        <v>1.2803532008830023E-2</v>
      </c>
      <c r="U46" s="78">
        <f t="shared" si="12"/>
        <v>-7.1999999999999842E-3</v>
      </c>
      <c r="V46" s="80">
        <f t="shared" si="13"/>
        <v>-7.1999999999999842E-3</v>
      </c>
    </row>
    <row r="47" spans="1:22">
      <c r="A47" s="144">
        <v>39</v>
      </c>
      <c r="B47" s="138" t="s">
        <v>77</v>
      </c>
      <c r="C47" s="139" t="s">
        <v>78</v>
      </c>
      <c r="D47" s="9">
        <v>5999671657.4899998</v>
      </c>
      <c r="E47" s="3">
        <f t="shared" si="8"/>
        <v>5.14232794633376E-3</v>
      </c>
      <c r="F47" s="8">
        <v>100</v>
      </c>
      <c r="G47" s="8">
        <v>100</v>
      </c>
      <c r="H47" s="58">
        <v>2465</v>
      </c>
      <c r="I47" s="5">
        <v>0.19170000000000001</v>
      </c>
      <c r="J47" s="5">
        <v>0.19170000000000001</v>
      </c>
      <c r="K47" s="9">
        <v>6129560435.79</v>
      </c>
      <c r="L47" s="3">
        <f t="shared" si="7"/>
        <v>5.2536558210406021E-3</v>
      </c>
      <c r="M47" s="8">
        <v>100</v>
      </c>
      <c r="N47" s="8">
        <v>100</v>
      </c>
      <c r="O47" s="58">
        <v>2496</v>
      </c>
      <c r="P47" s="5">
        <v>0.19159999999999999</v>
      </c>
      <c r="Q47" s="5">
        <v>0.19159999999999999</v>
      </c>
      <c r="R47" s="77">
        <f t="shared" si="9"/>
        <v>2.1649314448374327E-2</v>
      </c>
      <c r="S47" s="77">
        <f t="shared" si="10"/>
        <v>0</v>
      </c>
      <c r="T47" s="77">
        <f t="shared" si="11"/>
        <v>1.2576064908722109E-2</v>
      </c>
      <c r="U47" s="78">
        <f t="shared" si="12"/>
        <v>-1.0000000000001674E-4</v>
      </c>
      <c r="V47" s="80">
        <f t="shared" si="13"/>
        <v>-1.0000000000001674E-4</v>
      </c>
    </row>
    <row r="48" spans="1:22">
      <c r="A48" s="81">
        <v>40</v>
      </c>
      <c r="B48" s="152" t="s">
        <v>79</v>
      </c>
      <c r="C48" s="153" t="s">
        <v>80</v>
      </c>
      <c r="D48" s="9">
        <v>170139406.63999999</v>
      </c>
      <c r="E48" s="3">
        <f t="shared" si="8"/>
        <v>1.4582675110983337E-4</v>
      </c>
      <c r="F48" s="8">
        <v>1</v>
      </c>
      <c r="G48" s="8">
        <v>1</v>
      </c>
      <c r="H48" s="58">
        <v>78</v>
      </c>
      <c r="I48" s="5">
        <v>0.16589999999999999</v>
      </c>
      <c r="J48" s="5">
        <v>0.16589999999999999</v>
      </c>
      <c r="K48" s="9">
        <v>170330406.71000001</v>
      </c>
      <c r="L48" s="3">
        <f t="shared" si="7"/>
        <v>1.4599045756808374E-4</v>
      </c>
      <c r="M48" s="8">
        <v>1</v>
      </c>
      <c r="N48" s="8">
        <v>1</v>
      </c>
      <c r="O48" s="58">
        <v>78</v>
      </c>
      <c r="P48" s="5">
        <v>0.17130000000000001</v>
      </c>
      <c r="Q48" s="5">
        <v>0.17130000000000001</v>
      </c>
      <c r="R48" s="77">
        <f t="shared" si="9"/>
        <v>1.122609240104863E-3</v>
      </c>
      <c r="S48" s="77">
        <f t="shared" si="10"/>
        <v>0</v>
      </c>
      <c r="T48" s="77">
        <f t="shared" si="11"/>
        <v>0</v>
      </c>
      <c r="U48" s="78">
        <f t="shared" si="12"/>
        <v>5.4000000000000159E-3</v>
      </c>
      <c r="V48" s="80">
        <f t="shared" si="13"/>
        <v>5.4000000000000159E-3</v>
      </c>
    </row>
    <row r="49" spans="1:22">
      <c r="A49" s="146">
        <v>41</v>
      </c>
      <c r="B49" s="138" t="s">
        <v>81</v>
      </c>
      <c r="C49" s="139" t="s">
        <v>38</v>
      </c>
      <c r="D49" s="13">
        <v>756546236.70000005</v>
      </c>
      <c r="E49" s="3">
        <f t="shared" si="8"/>
        <v>6.4843696084922469E-4</v>
      </c>
      <c r="F49" s="8">
        <v>10</v>
      </c>
      <c r="G49" s="8">
        <v>10</v>
      </c>
      <c r="H49" s="58">
        <v>713</v>
      </c>
      <c r="I49" s="5">
        <v>0.1222</v>
      </c>
      <c r="J49" s="5">
        <v>0.1222</v>
      </c>
      <c r="K49" s="13">
        <v>754275750.54999995</v>
      </c>
      <c r="L49" s="3">
        <f t="shared" si="7"/>
        <v>6.4649092362461527E-4</v>
      </c>
      <c r="M49" s="8">
        <v>10</v>
      </c>
      <c r="N49" s="8">
        <v>10</v>
      </c>
      <c r="O49" s="58">
        <v>714</v>
      </c>
      <c r="P49" s="5">
        <v>-8.3000000000000001E-3</v>
      </c>
      <c r="Q49" s="5">
        <v>0.15859999999999999</v>
      </c>
      <c r="R49" s="77">
        <f t="shared" si="9"/>
        <v>-3.0011201429059929E-3</v>
      </c>
      <c r="S49" s="77">
        <f t="shared" si="10"/>
        <v>0</v>
      </c>
      <c r="T49" s="77">
        <f t="shared" si="11"/>
        <v>1.4025245441795231E-3</v>
      </c>
      <c r="U49" s="78">
        <f t="shared" si="12"/>
        <v>-0.1305</v>
      </c>
      <c r="V49" s="80">
        <f t="shared" si="13"/>
        <v>3.6399999999999988E-2</v>
      </c>
    </row>
    <row r="50" spans="1:22">
      <c r="A50" s="140">
        <v>42</v>
      </c>
      <c r="B50" s="138" t="s">
        <v>245</v>
      </c>
      <c r="C50" s="139" t="s">
        <v>246</v>
      </c>
      <c r="D50" s="13">
        <v>642890998.45000005</v>
      </c>
      <c r="E50" s="3">
        <f t="shared" si="8"/>
        <v>5.510228786684831E-4</v>
      </c>
      <c r="F50" s="8">
        <v>1</v>
      </c>
      <c r="G50" s="8">
        <v>1</v>
      </c>
      <c r="H50" s="58">
        <v>45</v>
      </c>
      <c r="I50" s="5">
        <v>0.2026</v>
      </c>
      <c r="J50" s="5">
        <v>0.2026</v>
      </c>
      <c r="K50" s="13">
        <v>642593001.48000002</v>
      </c>
      <c r="L50" s="3">
        <f t="shared" si="7"/>
        <v>5.5076746500016334E-4</v>
      </c>
      <c r="M50" s="8">
        <v>1</v>
      </c>
      <c r="N50" s="8">
        <v>1</v>
      </c>
      <c r="O50" s="58">
        <v>45</v>
      </c>
      <c r="P50" s="5">
        <v>0.20369999999999999</v>
      </c>
      <c r="Q50" s="5">
        <v>0.20369999999999999</v>
      </c>
      <c r="R50" s="77">
        <f t="shared" si="9"/>
        <v>-4.635264309478505E-4</v>
      </c>
      <c r="S50" s="77">
        <f t="shared" si="10"/>
        <v>0</v>
      </c>
      <c r="T50" s="77">
        <f t="shared" si="11"/>
        <v>0</v>
      </c>
      <c r="U50" s="78">
        <f t="shared" si="12"/>
        <v>1.0999999999999899E-3</v>
      </c>
      <c r="V50" s="80">
        <f t="shared" si="13"/>
        <v>1.0999999999999899E-3</v>
      </c>
    </row>
    <row r="51" spans="1:22">
      <c r="A51" s="140">
        <v>43</v>
      </c>
      <c r="B51" s="138" t="s">
        <v>280</v>
      </c>
      <c r="C51" s="139" t="s">
        <v>279</v>
      </c>
      <c r="D51" s="13">
        <v>4997445413.5100002</v>
      </c>
      <c r="E51" s="3">
        <f t="shared" si="8"/>
        <v>4.2833182676068433E-3</v>
      </c>
      <c r="F51" s="8">
        <v>100</v>
      </c>
      <c r="G51" s="8">
        <v>100</v>
      </c>
      <c r="H51" s="58">
        <v>37</v>
      </c>
      <c r="I51" s="5">
        <v>0.22059999999999999</v>
      </c>
      <c r="J51" s="5">
        <v>0.22059999999999999</v>
      </c>
      <c r="K51" s="13">
        <v>5675732872.2299995</v>
      </c>
      <c r="L51" s="3">
        <f t="shared" si="7"/>
        <v>4.8646795076455656E-3</v>
      </c>
      <c r="M51" s="8">
        <v>100</v>
      </c>
      <c r="N51" s="8">
        <v>100</v>
      </c>
      <c r="O51" s="58">
        <v>43</v>
      </c>
      <c r="P51" s="5">
        <v>0.23119999999999999</v>
      </c>
      <c r="Q51" s="5">
        <v>0.23119999999999999</v>
      </c>
      <c r="R51" s="77">
        <f t="shared" si="9"/>
        <v>0.13572683693279164</v>
      </c>
      <c r="S51" s="77">
        <f t="shared" si="10"/>
        <v>0</v>
      </c>
      <c r="T51" s="77">
        <f t="shared" si="11"/>
        <v>0.16216216216216217</v>
      </c>
      <c r="U51" s="78">
        <f t="shared" si="12"/>
        <v>1.0599999999999998E-2</v>
      </c>
      <c r="V51" s="80">
        <f t="shared" si="13"/>
        <v>1.0599999999999998E-2</v>
      </c>
    </row>
    <row r="52" spans="1:22">
      <c r="A52" s="81">
        <v>44</v>
      </c>
      <c r="B52" s="152" t="s">
        <v>274</v>
      </c>
      <c r="C52" s="153" t="s">
        <v>108</v>
      </c>
      <c r="D52" s="13">
        <v>50095970.780000001</v>
      </c>
      <c r="E52" s="3">
        <f t="shared" si="8"/>
        <v>4.2937334782164758E-5</v>
      </c>
      <c r="F52" s="8">
        <v>1000</v>
      </c>
      <c r="G52" s="8">
        <v>1000</v>
      </c>
      <c r="H52" s="58">
        <v>2</v>
      </c>
      <c r="I52" s="5">
        <v>0</v>
      </c>
      <c r="J52" s="5">
        <v>2.0299999999999999E-2</v>
      </c>
      <c r="K52" s="13">
        <v>50145970.780000001</v>
      </c>
      <c r="L52" s="3">
        <f t="shared" si="7"/>
        <v>4.298018986024152E-5</v>
      </c>
      <c r="M52" s="8">
        <v>1000</v>
      </c>
      <c r="N52" s="8">
        <v>1000</v>
      </c>
      <c r="O52" s="58">
        <v>3</v>
      </c>
      <c r="P52" s="5">
        <v>0</v>
      </c>
      <c r="Q52" s="5">
        <v>2.01E-2</v>
      </c>
      <c r="R52" s="77">
        <f t="shared" si="9"/>
        <v>9.9808426149836549E-4</v>
      </c>
      <c r="S52" s="77">
        <f t="shared" si="10"/>
        <v>0</v>
      </c>
      <c r="T52" s="77">
        <f t="shared" si="11"/>
        <v>0.5</v>
      </c>
      <c r="U52" s="78">
        <f t="shared" si="12"/>
        <v>0</v>
      </c>
      <c r="V52" s="80">
        <f t="shared" si="13"/>
        <v>-1.9999999999999879E-4</v>
      </c>
    </row>
    <row r="53" spans="1:22">
      <c r="A53" s="81">
        <v>45</v>
      </c>
      <c r="B53" s="152" t="s">
        <v>82</v>
      </c>
      <c r="C53" s="153" t="s">
        <v>42</v>
      </c>
      <c r="D53" s="9">
        <v>507589522977.35999</v>
      </c>
      <c r="E53" s="3">
        <f t="shared" si="8"/>
        <v>0.43505577276285323</v>
      </c>
      <c r="F53" s="8">
        <v>100</v>
      </c>
      <c r="G53" s="8">
        <v>100</v>
      </c>
      <c r="H53" s="58">
        <v>126570</v>
      </c>
      <c r="I53" s="5">
        <v>0.1988</v>
      </c>
      <c r="J53" s="5">
        <v>0.1988</v>
      </c>
      <c r="K53" s="9">
        <v>520293862523.95001</v>
      </c>
      <c r="L53" s="3">
        <f t="shared" si="7"/>
        <v>0.44594468202651022</v>
      </c>
      <c r="M53" s="8">
        <v>100</v>
      </c>
      <c r="N53" s="8">
        <v>100</v>
      </c>
      <c r="O53" s="58">
        <v>127372</v>
      </c>
      <c r="P53" s="5">
        <v>0.19980000000000001</v>
      </c>
      <c r="Q53" s="5">
        <v>0.19980000000000001</v>
      </c>
      <c r="R53" s="77">
        <f t="shared" si="9"/>
        <v>2.5028766299332539E-2</v>
      </c>
      <c r="S53" s="77">
        <f t="shared" si="10"/>
        <v>0</v>
      </c>
      <c r="T53" s="77">
        <f t="shared" si="11"/>
        <v>6.3364146322193249E-3</v>
      </c>
      <c r="U53" s="78">
        <f t="shared" si="12"/>
        <v>1.0000000000000009E-3</v>
      </c>
      <c r="V53" s="80">
        <f t="shared" si="13"/>
        <v>1.0000000000000009E-3</v>
      </c>
    </row>
    <row r="54" spans="1:22">
      <c r="A54" s="144">
        <v>46</v>
      </c>
      <c r="B54" s="138" t="s">
        <v>272</v>
      </c>
      <c r="C54" s="138" t="s">
        <v>271</v>
      </c>
      <c r="D54" s="9">
        <v>492791777.95999998</v>
      </c>
      <c r="E54" s="3">
        <f t="shared" si="8"/>
        <v>4.2237260240127276E-4</v>
      </c>
      <c r="F54" s="8">
        <v>100</v>
      </c>
      <c r="G54" s="8">
        <v>100</v>
      </c>
      <c r="H54" s="58">
        <v>96</v>
      </c>
      <c r="I54" s="5">
        <v>0</v>
      </c>
      <c r="J54" s="5">
        <v>0</v>
      </c>
      <c r="K54" s="9">
        <v>514750478.85000002</v>
      </c>
      <c r="L54" s="3">
        <f t="shared" si="7"/>
        <v>4.4119343922337836E-4</v>
      </c>
      <c r="M54" s="8">
        <v>100</v>
      </c>
      <c r="N54" s="8">
        <v>100</v>
      </c>
      <c r="O54" s="58">
        <v>105</v>
      </c>
      <c r="P54" s="5">
        <v>0.1883</v>
      </c>
      <c r="Q54" s="5">
        <v>0.1883</v>
      </c>
      <c r="R54" s="77">
        <f t="shared" si="9"/>
        <v>4.4559795581212876E-2</v>
      </c>
      <c r="S54" s="77">
        <f t="shared" si="10"/>
        <v>0</v>
      </c>
      <c r="T54" s="77">
        <f t="shared" si="11"/>
        <v>9.375E-2</v>
      </c>
      <c r="U54" s="78">
        <f t="shared" si="12"/>
        <v>0.1883</v>
      </c>
      <c r="V54" s="80">
        <f t="shared" si="13"/>
        <v>0.1883</v>
      </c>
    </row>
    <row r="55" spans="1:22">
      <c r="A55" s="144">
        <v>47</v>
      </c>
      <c r="B55" s="138" t="s">
        <v>83</v>
      </c>
      <c r="C55" s="139" t="s">
        <v>84</v>
      </c>
      <c r="D55" s="9">
        <v>3682557229.0900002</v>
      </c>
      <c r="E55" s="3">
        <f t="shared" si="8"/>
        <v>3.1563255514961462E-3</v>
      </c>
      <c r="F55" s="8">
        <v>1</v>
      </c>
      <c r="G55" s="8">
        <v>1</v>
      </c>
      <c r="H55" s="58">
        <v>373</v>
      </c>
      <c r="I55" s="5">
        <v>0.18830888909999999</v>
      </c>
      <c r="J55" s="5">
        <v>0.18830888909999999</v>
      </c>
      <c r="K55" s="9">
        <v>3775757464.4899998</v>
      </c>
      <c r="L55" s="3">
        <f t="shared" si="7"/>
        <v>3.2362076187929436E-3</v>
      </c>
      <c r="M55" s="8">
        <v>1</v>
      </c>
      <c r="N55" s="8">
        <v>1</v>
      </c>
      <c r="O55" s="58">
        <v>372</v>
      </c>
      <c r="P55" s="5">
        <v>0.18297692560000001</v>
      </c>
      <c r="Q55" s="5">
        <v>0.18297692560000001</v>
      </c>
      <c r="R55" s="77">
        <f t="shared" si="9"/>
        <v>2.5308564022786525E-2</v>
      </c>
      <c r="S55" s="77">
        <f t="shared" si="10"/>
        <v>0</v>
      </c>
      <c r="T55" s="77">
        <f t="shared" si="11"/>
        <v>-2.6809651474530832E-3</v>
      </c>
      <c r="U55" s="78">
        <f t="shared" si="12"/>
        <v>-5.331963499999981E-3</v>
      </c>
      <c r="V55" s="80">
        <f t="shared" si="13"/>
        <v>-5.331963499999981E-3</v>
      </c>
    </row>
    <row r="56" spans="1:22">
      <c r="A56" s="81">
        <v>48</v>
      </c>
      <c r="B56" s="152" t="s">
        <v>85</v>
      </c>
      <c r="C56" s="153" t="s">
        <v>45</v>
      </c>
      <c r="D56" s="9">
        <v>41032459676.050003</v>
      </c>
      <c r="E56" s="3">
        <f t="shared" si="8"/>
        <v>3.5168985261976683E-2</v>
      </c>
      <c r="F56" s="8">
        <v>1</v>
      </c>
      <c r="G56" s="8">
        <v>1</v>
      </c>
      <c r="H56" s="58">
        <v>24159</v>
      </c>
      <c r="I56" s="5">
        <v>0.19020000000000001</v>
      </c>
      <c r="J56" s="5">
        <v>0.19020000000000001</v>
      </c>
      <c r="K56" s="9">
        <v>42850334296.089996</v>
      </c>
      <c r="L56" s="3">
        <f t="shared" si="7"/>
        <v>3.6727088437488349E-2</v>
      </c>
      <c r="M56" s="8">
        <v>1</v>
      </c>
      <c r="N56" s="8">
        <v>1</v>
      </c>
      <c r="O56" s="58">
        <v>27045</v>
      </c>
      <c r="P56" s="5">
        <v>0.19120000000000001</v>
      </c>
      <c r="Q56" s="5">
        <v>0.19120000000000001</v>
      </c>
      <c r="R56" s="77">
        <f t="shared" si="9"/>
        <v>4.4303330445994639E-2</v>
      </c>
      <c r="S56" s="77">
        <f t="shared" si="10"/>
        <v>0</v>
      </c>
      <c r="T56" s="77">
        <f t="shared" si="11"/>
        <v>0.11945858686203899</v>
      </c>
      <c r="U56" s="78">
        <f t="shared" si="12"/>
        <v>1.0000000000000009E-3</v>
      </c>
      <c r="V56" s="80">
        <f t="shared" si="13"/>
        <v>1.0000000000000009E-3</v>
      </c>
    </row>
    <row r="57" spans="1:22">
      <c r="A57" s="140">
        <v>49</v>
      </c>
      <c r="B57" s="138" t="s">
        <v>86</v>
      </c>
      <c r="C57" s="139" t="s">
        <v>87</v>
      </c>
      <c r="D57" s="9">
        <v>1336478156.9000001</v>
      </c>
      <c r="E57" s="3">
        <f t="shared" si="8"/>
        <v>1.1454975152368097E-3</v>
      </c>
      <c r="F57" s="8">
        <v>1</v>
      </c>
      <c r="G57" s="8">
        <v>1</v>
      </c>
      <c r="H57" s="58">
        <v>93</v>
      </c>
      <c r="I57" s="5">
        <v>0.17380000000000001</v>
      </c>
      <c r="J57" s="5">
        <v>0.17380000000000001</v>
      </c>
      <c r="K57" s="9">
        <v>1238383296.76</v>
      </c>
      <c r="L57" s="3">
        <f t="shared" si="7"/>
        <v>1.0614202574322287E-3</v>
      </c>
      <c r="M57" s="8">
        <v>1</v>
      </c>
      <c r="N57" s="8">
        <v>1</v>
      </c>
      <c r="O57" s="58">
        <v>96</v>
      </c>
      <c r="P57" s="5">
        <v>0.17810000000000001</v>
      </c>
      <c r="Q57" s="5">
        <v>0.17810000000000001</v>
      </c>
      <c r="R57" s="77">
        <f t="shared" si="9"/>
        <v>-7.3398027220687223E-2</v>
      </c>
      <c r="S57" s="77">
        <f t="shared" si="10"/>
        <v>0</v>
      </c>
      <c r="T57" s="77">
        <f t="shared" si="11"/>
        <v>3.2258064516129031E-2</v>
      </c>
      <c r="U57" s="78">
        <f t="shared" si="12"/>
        <v>4.2999999999999983E-3</v>
      </c>
      <c r="V57" s="80">
        <f t="shared" si="13"/>
        <v>4.2999999999999983E-3</v>
      </c>
    </row>
    <row r="58" spans="1:22">
      <c r="A58" s="140">
        <v>50</v>
      </c>
      <c r="B58" s="138" t="s">
        <v>88</v>
      </c>
      <c r="C58" s="139" t="s">
        <v>89</v>
      </c>
      <c r="D58" s="9">
        <v>1499838855.46</v>
      </c>
      <c r="E58" s="3">
        <f t="shared" si="8"/>
        <v>1.2855142250660829E-3</v>
      </c>
      <c r="F58" s="8">
        <v>1</v>
      </c>
      <c r="G58" s="8">
        <v>1</v>
      </c>
      <c r="H58" s="58">
        <v>257</v>
      </c>
      <c r="I58" s="5">
        <v>0.2177</v>
      </c>
      <c r="J58" s="5">
        <v>0.2177</v>
      </c>
      <c r="K58" s="9">
        <v>1643281086.9400001</v>
      </c>
      <c r="L58" s="3">
        <f t="shared" si="7"/>
        <v>1.4084587856576989E-3</v>
      </c>
      <c r="M58" s="8">
        <v>1</v>
      </c>
      <c r="N58" s="8">
        <v>1</v>
      </c>
      <c r="O58" s="58">
        <v>281</v>
      </c>
      <c r="P58" s="5">
        <v>0.1976</v>
      </c>
      <c r="Q58" s="5">
        <v>0.1976</v>
      </c>
      <c r="R58" s="77">
        <f t="shared" si="9"/>
        <v>9.5638428727069041E-2</v>
      </c>
      <c r="S58" s="77">
        <f t="shared" si="10"/>
        <v>0</v>
      </c>
      <c r="T58" s="77">
        <f t="shared" si="11"/>
        <v>9.3385214007782102E-2</v>
      </c>
      <c r="U58" s="78">
        <f t="shared" si="12"/>
        <v>-2.0100000000000007E-2</v>
      </c>
      <c r="V58" s="80">
        <f t="shared" si="13"/>
        <v>-2.0100000000000007E-2</v>
      </c>
    </row>
    <row r="59" spans="1:22">
      <c r="A59" s="147">
        <v>51</v>
      </c>
      <c r="B59" s="138" t="s">
        <v>258</v>
      </c>
      <c r="C59" s="139" t="s">
        <v>259</v>
      </c>
      <c r="D59" s="9">
        <v>974247938.20000005</v>
      </c>
      <c r="E59" s="3">
        <f t="shared" si="8"/>
        <v>8.3502942915376639E-4</v>
      </c>
      <c r="F59" s="8">
        <v>1</v>
      </c>
      <c r="G59" s="8">
        <v>1</v>
      </c>
      <c r="H59" s="58">
        <v>947</v>
      </c>
      <c r="I59" s="5">
        <v>0.1804</v>
      </c>
      <c r="J59" s="5">
        <v>0.1804</v>
      </c>
      <c r="K59" s="9">
        <v>969904988.80999994</v>
      </c>
      <c r="L59" s="3">
        <f t="shared" si="7"/>
        <v>8.313070804499285E-4</v>
      </c>
      <c r="M59" s="8">
        <v>1</v>
      </c>
      <c r="N59" s="8">
        <v>1</v>
      </c>
      <c r="O59" s="58">
        <v>962</v>
      </c>
      <c r="P59" s="5">
        <v>0.19089999999999999</v>
      </c>
      <c r="Q59" s="5">
        <v>0.19089999999999999</v>
      </c>
      <c r="R59" s="77">
        <f t="shared" si="9"/>
        <v>-4.4577455283344473E-3</v>
      </c>
      <c r="S59" s="77">
        <f t="shared" si="10"/>
        <v>0</v>
      </c>
      <c r="T59" s="77">
        <f t="shared" si="11"/>
        <v>1.5839493136219639E-2</v>
      </c>
      <c r="U59" s="78">
        <f t="shared" si="12"/>
        <v>1.0499999999999982E-2</v>
      </c>
      <c r="V59" s="80">
        <f t="shared" si="13"/>
        <v>1.0499999999999982E-2</v>
      </c>
    </row>
    <row r="60" spans="1:22">
      <c r="A60" s="146">
        <v>52</v>
      </c>
      <c r="B60" s="138" t="s">
        <v>90</v>
      </c>
      <c r="C60" s="139" t="s">
        <v>91</v>
      </c>
      <c r="D60" s="9">
        <v>34202507176.75</v>
      </c>
      <c r="E60" s="3">
        <f t="shared" si="8"/>
        <v>2.9315022309614726E-2</v>
      </c>
      <c r="F60" s="8">
        <v>1</v>
      </c>
      <c r="G60" s="8">
        <v>1</v>
      </c>
      <c r="H60" s="58">
        <v>3686</v>
      </c>
      <c r="I60" s="5">
        <v>0.20180000000000001</v>
      </c>
      <c r="J60" s="5">
        <v>0.20180000000000001</v>
      </c>
      <c r="K60" s="9">
        <v>34915306666.639999</v>
      </c>
      <c r="L60" s="3">
        <f t="shared" si="7"/>
        <v>2.9925963865461012E-2</v>
      </c>
      <c r="M60" s="8">
        <v>1</v>
      </c>
      <c r="N60" s="8">
        <v>1</v>
      </c>
      <c r="O60" s="58">
        <v>3703</v>
      </c>
      <c r="P60" s="5">
        <v>0.20330000000000001</v>
      </c>
      <c r="Q60" s="5">
        <v>0.20330000000000001</v>
      </c>
      <c r="R60" s="77">
        <f t="shared" si="9"/>
        <v>2.0840562541407565E-2</v>
      </c>
      <c r="S60" s="77">
        <f t="shared" si="10"/>
        <v>0</v>
      </c>
      <c r="T60" s="77">
        <f t="shared" si="11"/>
        <v>4.6120455778621812E-3</v>
      </c>
      <c r="U60" s="78">
        <f t="shared" si="12"/>
        <v>1.5000000000000013E-3</v>
      </c>
      <c r="V60" s="80">
        <f t="shared" si="13"/>
        <v>1.5000000000000013E-3</v>
      </c>
    </row>
    <row r="61" spans="1:22">
      <c r="A61" s="72"/>
      <c r="B61" s="136"/>
      <c r="C61" s="69" t="s">
        <v>46</v>
      </c>
      <c r="D61" s="57">
        <f>SUM(D26:D60)</f>
        <v>1142921312773.24</v>
      </c>
      <c r="E61" s="97">
        <f>(D61/$D$198)</f>
        <v>0.36902215551658513</v>
      </c>
      <c r="F61" s="30"/>
      <c r="G61" s="11"/>
      <c r="H61" s="63">
        <f>SUM(H26:H60)</f>
        <v>299784</v>
      </c>
      <c r="I61" s="32"/>
      <c r="J61" s="32"/>
      <c r="K61" s="57">
        <f>SUM(K26:K60)</f>
        <v>1166722877285.0798</v>
      </c>
      <c r="L61" s="97">
        <f>(K61/$K$198)</f>
        <v>0.36900116322992188</v>
      </c>
      <c r="M61" s="30"/>
      <c r="N61" s="11"/>
      <c r="O61" s="63">
        <f>SUM(O26:O60)</f>
        <v>304263</v>
      </c>
      <c r="P61" s="32"/>
      <c r="Q61" s="32"/>
      <c r="R61" s="77">
        <f t="shared" si="9"/>
        <v>2.0825199640460434E-2</v>
      </c>
      <c r="S61" s="77" t="e">
        <f t="shared" si="10"/>
        <v>#DIV/0!</v>
      </c>
      <c r="T61" s="77">
        <f t="shared" si="11"/>
        <v>1.4940757345288607E-2</v>
      </c>
      <c r="U61" s="78">
        <f t="shared" si="12"/>
        <v>0</v>
      </c>
      <c r="V61" s="80">
        <f t="shared" si="13"/>
        <v>0</v>
      </c>
    </row>
    <row r="62" spans="1:22" ht="9" customHeight="1">
      <c r="A62" s="160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</row>
    <row r="63" spans="1:22" ht="15" customHeight="1">
      <c r="A63" s="158" t="s">
        <v>92</v>
      </c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</row>
    <row r="64" spans="1:22">
      <c r="A64" s="140">
        <v>53</v>
      </c>
      <c r="B64" s="138" t="s">
        <v>93</v>
      </c>
      <c r="C64" s="139" t="s">
        <v>19</v>
      </c>
      <c r="D64" s="2">
        <v>462830965.70999998</v>
      </c>
      <c r="E64" s="3">
        <f>(D64/$D$99)</f>
        <v>1.9736132299968609E-3</v>
      </c>
      <c r="F64" s="14">
        <v>1.2447999999999999</v>
      </c>
      <c r="G64" s="14">
        <v>1.2447999999999999</v>
      </c>
      <c r="H64" s="58">
        <v>451</v>
      </c>
      <c r="I64" s="5">
        <v>-7.4159999999999998E-3</v>
      </c>
      <c r="J64" s="5">
        <v>-2.76E-2</v>
      </c>
      <c r="K64" s="2">
        <v>460439103.58999997</v>
      </c>
      <c r="L64" s="3">
        <f t="shared" ref="L64:L85" si="14">(K64/$K$99)</f>
        <v>1.9878299426713117E-3</v>
      </c>
      <c r="M64" s="14">
        <v>1.2383999999999999</v>
      </c>
      <c r="N64" s="14">
        <v>1.2383999999999999</v>
      </c>
      <c r="O64" s="58">
        <v>452</v>
      </c>
      <c r="P64" s="5">
        <v>2.591E-3</v>
      </c>
      <c r="Q64" s="5">
        <v>-3.2599999999999997E-2</v>
      </c>
      <c r="R64" s="77">
        <f>((K64-D64)/D64)</f>
        <v>-5.1678956189346557E-3</v>
      </c>
      <c r="S64" s="77">
        <f>((N64-G64)/G64)</f>
        <v>-5.1413881748071672E-3</v>
      </c>
      <c r="T64" s="77">
        <f>((O64-H64)/H64)</f>
        <v>2.2172949002217295E-3</v>
      </c>
      <c r="U64" s="78">
        <f>P64-I64</f>
        <v>1.0007E-2</v>
      </c>
      <c r="V64" s="80">
        <f>Q64-J64</f>
        <v>-4.9999999999999975E-3</v>
      </c>
    </row>
    <row r="65" spans="1:22">
      <c r="A65" s="149">
        <v>54</v>
      </c>
      <c r="B65" s="138" t="s">
        <v>94</v>
      </c>
      <c r="C65" s="139" t="s">
        <v>21</v>
      </c>
      <c r="D65" s="2">
        <v>1425499475.8699999</v>
      </c>
      <c r="E65" s="3">
        <f>(D65/$D$99)</f>
        <v>6.0786438967297398E-3</v>
      </c>
      <c r="F65" s="14">
        <v>1.1638999999999999</v>
      </c>
      <c r="G65" s="14">
        <v>1.1638999999999999</v>
      </c>
      <c r="H65" s="58">
        <v>693</v>
      </c>
      <c r="I65" s="5">
        <v>0.108</v>
      </c>
      <c r="J65" s="5">
        <v>6.0000000000000001E-3</v>
      </c>
      <c r="K65" s="2">
        <v>1424860319.3699999</v>
      </c>
      <c r="L65" s="3">
        <f t="shared" si="14"/>
        <v>6.1514758083839874E-3</v>
      </c>
      <c r="M65" s="14">
        <v>1.1662999999999999</v>
      </c>
      <c r="N65" s="14">
        <v>1.1662999999999999</v>
      </c>
      <c r="O65" s="58">
        <v>696</v>
      </c>
      <c r="P65" s="5">
        <v>0.10780000000000001</v>
      </c>
      <c r="Q65" s="5">
        <v>9.5999999999999992E-3</v>
      </c>
      <c r="R65" s="77">
        <f t="shared" ref="R65:R99" si="15">((K65-D65)/D65)</f>
        <v>-4.4837371799797744E-4</v>
      </c>
      <c r="S65" s="77">
        <f t="shared" ref="S65:S99" si="16">((N65-G65)/G65)</f>
        <v>2.0620328206890264E-3</v>
      </c>
      <c r="T65" s="77">
        <f t="shared" ref="T65:T99" si="17">((O65-H65)/H65)</f>
        <v>4.329004329004329E-3</v>
      </c>
      <c r="U65" s="78">
        <f t="shared" ref="U65:U99" si="18">P65-I65</f>
        <v>-1.9999999999999185E-4</v>
      </c>
      <c r="V65" s="80">
        <f t="shared" ref="V65:V99" si="19">Q65-J65</f>
        <v>3.599999999999999E-3</v>
      </c>
    </row>
    <row r="66" spans="1:22">
      <c r="A66" s="149">
        <v>55</v>
      </c>
      <c r="B66" s="138" t="s">
        <v>95</v>
      </c>
      <c r="C66" s="139" t="s">
        <v>21</v>
      </c>
      <c r="D66" s="2">
        <v>868843040.52999997</v>
      </c>
      <c r="E66" s="3">
        <f>(D66/$D$99)</f>
        <v>3.7049381882869499E-3</v>
      </c>
      <c r="F66" s="14">
        <v>1.0595000000000001</v>
      </c>
      <c r="G66" s="14">
        <v>1.0595000000000001</v>
      </c>
      <c r="H66" s="58">
        <v>173</v>
      </c>
      <c r="I66" s="5">
        <v>0.1187</v>
      </c>
      <c r="J66" s="5">
        <v>-1.89E-2</v>
      </c>
      <c r="K66" s="2">
        <v>866874376.87</v>
      </c>
      <c r="L66" s="3">
        <f t="shared" si="14"/>
        <v>3.7425119401047896E-3</v>
      </c>
      <c r="M66" s="14">
        <v>1.0620000000000001</v>
      </c>
      <c r="N66" s="14">
        <v>1.0620000000000001</v>
      </c>
      <c r="O66" s="58">
        <v>174</v>
      </c>
      <c r="P66" s="5">
        <v>0.1234</v>
      </c>
      <c r="Q66" s="5">
        <v>-1.4E-2</v>
      </c>
      <c r="R66" s="77">
        <f t="shared" si="15"/>
        <v>-2.2658450009556026E-3</v>
      </c>
      <c r="S66" s="77">
        <f t="shared" si="16"/>
        <v>2.3596035865974009E-3</v>
      </c>
      <c r="T66" s="77">
        <f t="shared" si="17"/>
        <v>5.7803468208092483E-3</v>
      </c>
      <c r="U66" s="78">
        <f t="shared" si="18"/>
        <v>4.6999999999999958E-3</v>
      </c>
      <c r="V66" s="80">
        <f t="shared" si="19"/>
        <v>4.8999999999999998E-3</v>
      </c>
    </row>
    <row r="67" spans="1:22">
      <c r="A67" s="81">
        <v>56</v>
      </c>
      <c r="B67" s="152" t="s">
        <v>96</v>
      </c>
      <c r="C67" s="153" t="s">
        <v>97</v>
      </c>
      <c r="D67" s="2">
        <v>263029510.24000001</v>
      </c>
      <c r="E67" s="3">
        <f>(D67/$D$99)</f>
        <v>1.121615794424886E-3</v>
      </c>
      <c r="F67" s="7">
        <v>1057.28</v>
      </c>
      <c r="G67" s="7">
        <v>1057.28</v>
      </c>
      <c r="H67" s="58">
        <v>112</v>
      </c>
      <c r="I67" s="5">
        <v>2.2039999999999998E-3</v>
      </c>
      <c r="J67" s="5">
        <v>2.7102999999999999E-2</v>
      </c>
      <c r="K67" s="2">
        <v>263544165.81</v>
      </c>
      <c r="L67" s="3">
        <f t="shared" si="14"/>
        <v>1.1377856049340741E-3</v>
      </c>
      <c r="M67" s="7">
        <v>1059.52</v>
      </c>
      <c r="N67" s="7">
        <v>1059.52</v>
      </c>
      <c r="O67" s="58">
        <v>112</v>
      </c>
      <c r="P67" s="5">
        <v>1.8E-3</v>
      </c>
      <c r="Q67" s="5">
        <v>2.64E-2</v>
      </c>
      <c r="R67" s="77">
        <f t="shared" si="15"/>
        <v>1.9566457373182112E-3</v>
      </c>
      <c r="S67" s="77">
        <f t="shared" si="16"/>
        <v>2.1186440677966188E-3</v>
      </c>
      <c r="T67" s="77">
        <f t="shared" si="17"/>
        <v>0</v>
      </c>
      <c r="U67" s="78">
        <f t="shared" si="18"/>
        <v>-4.0399999999999985E-4</v>
      </c>
      <c r="V67" s="80">
        <f t="shared" si="19"/>
        <v>-7.0299999999999876E-4</v>
      </c>
    </row>
    <row r="68" spans="1:22" ht="15" customHeight="1">
      <c r="A68" s="81">
        <v>57</v>
      </c>
      <c r="B68" s="152" t="s">
        <v>98</v>
      </c>
      <c r="C68" s="153" t="s">
        <v>99</v>
      </c>
      <c r="D68" s="2">
        <v>1683318354.3399999</v>
      </c>
      <c r="E68" s="3">
        <f>(D68/$K$99)</f>
        <v>7.2673033235353601E-3</v>
      </c>
      <c r="F68" s="7">
        <v>1.0319</v>
      </c>
      <c r="G68" s="7">
        <v>1.0319</v>
      </c>
      <c r="H68" s="58">
        <v>858</v>
      </c>
      <c r="I68" s="5">
        <v>3.5000000000000001E-3</v>
      </c>
      <c r="J68" s="5">
        <v>2.24E-2</v>
      </c>
      <c r="K68" s="2">
        <v>1665548612.3299999</v>
      </c>
      <c r="L68" s="3">
        <f t="shared" si="14"/>
        <v>7.1905869348411538E-3</v>
      </c>
      <c r="M68" s="7">
        <v>1.0341</v>
      </c>
      <c r="N68" s="7">
        <v>1.0341</v>
      </c>
      <c r="O68" s="58">
        <v>858</v>
      </c>
      <c r="P68" s="5">
        <v>2.0999999999999999E-3</v>
      </c>
      <c r="Q68" s="5">
        <v>2.4500000000000001E-2</v>
      </c>
      <c r="R68" s="77">
        <f t="shared" si="15"/>
        <v>-1.0556376317162655E-2</v>
      </c>
      <c r="S68" s="77">
        <f t="shared" si="16"/>
        <v>2.1319895338695414E-3</v>
      </c>
      <c r="T68" s="77">
        <f t="shared" si="17"/>
        <v>0</v>
      </c>
      <c r="U68" s="78">
        <f t="shared" si="18"/>
        <v>-1.4000000000000002E-3</v>
      </c>
      <c r="V68" s="80">
        <v>7.87</v>
      </c>
    </row>
    <row r="69" spans="1:22">
      <c r="A69" s="146">
        <v>58</v>
      </c>
      <c r="B69" s="138" t="s">
        <v>100</v>
      </c>
      <c r="C69" s="139" t="s">
        <v>101</v>
      </c>
      <c r="D69" s="2">
        <v>416789834.08921099</v>
      </c>
      <c r="E69" s="3">
        <f t="shared" ref="E69:E85" si="20">(D69/$D$99)</f>
        <v>1.777283698865723E-3</v>
      </c>
      <c r="F69" s="7">
        <v>2.3746999999999998</v>
      </c>
      <c r="G69" s="7">
        <v>2.3746999999999998</v>
      </c>
      <c r="H69" s="58">
        <v>1392</v>
      </c>
      <c r="I69" s="5">
        <v>0.13020000000000001</v>
      </c>
      <c r="J69" s="5">
        <v>0.11600000000000001</v>
      </c>
      <c r="K69" s="2">
        <v>417830248.74741828</v>
      </c>
      <c r="L69" s="3">
        <f t="shared" si="14"/>
        <v>1.8038769360334563E-3</v>
      </c>
      <c r="M69" s="7">
        <v>2.3805999999999998</v>
      </c>
      <c r="N69" s="7">
        <v>2.3805999999999998</v>
      </c>
      <c r="O69" s="58">
        <v>1392</v>
      </c>
      <c r="P69" s="5">
        <v>0.12989999999999999</v>
      </c>
      <c r="Q69" s="5">
        <v>0.1168</v>
      </c>
      <c r="R69" s="77">
        <f t="shared" si="15"/>
        <v>2.4962572815166212E-3</v>
      </c>
      <c r="S69" s="77">
        <f t="shared" si="16"/>
        <v>2.4845243609719191E-3</v>
      </c>
      <c r="T69" s="77">
        <f t="shared" si="17"/>
        <v>0</v>
      </c>
      <c r="U69" s="78">
        <f t="shared" si="18"/>
        <v>-3.0000000000002247E-4</v>
      </c>
      <c r="V69" s="80">
        <f t="shared" si="19"/>
        <v>7.9999999999999516E-4</v>
      </c>
    </row>
    <row r="70" spans="1:22">
      <c r="A70" s="81">
        <v>59</v>
      </c>
      <c r="B70" s="152" t="s">
        <v>269</v>
      </c>
      <c r="C70" s="153" t="s">
        <v>267</v>
      </c>
      <c r="D70" s="2">
        <v>138786641.38</v>
      </c>
      <c r="E70" s="3">
        <f t="shared" si="20"/>
        <v>5.9181682270158362E-4</v>
      </c>
      <c r="F70" s="7">
        <v>10.69</v>
      </c>
      <c r="G70" s="7">
        <v>10.71</v>
      </c>
      <c r="H70" s="58">
        <v>29</v>
      </c>
      <c r="I70" s="5">
        <v>-1.21E-2</v>
      </c>
      <c r="J70" s="5">
        <v>4.1700000000000001E-2</v>
      </c>
      <c r="K70" s="2">
        <v>133293767.20999999</v>
      </c>
      <c r="L70" s="3">
        <f t="shared" si="14"/>
        <v>5.7546229146392613E-4</v>
      </c>
      <c r="M70" s="7">
        <v>10.7</v>
      </c>
      <c r="N70" s="7">
        <v>10.73</v>
      </c>
      <c r="O70" s="58">
        <v>29</v>
      </c>
      <c r="P70" s="5">
        <v>-9.1700000000000004E-2</v>
      </c>
      <c r="Q70" s="5">
        <v>3.9300000000000002E-2</v>
      </c>
      <c r="R70" s="77">
        <f>((K70-D70)/D70)</f>
        <v>-3.9577830512955686E-2</v>
      </c>
      <c r="S70" s="77">
        <f>((N70-G70)/G70)</f>
        <v>1.8674136321194744E-3</v>
      </c>
      <c r="T70" s="77">
        <f>((O70-H70)/H70)</f>
        <v>0</v>
      </c>
      <c r="U70" s="78">
        <f>P70-I70</f>
        <v>-7.9600000000000004E-2</v>
      </c>
      <c r="V70" s="80">
        <f>Q70-J70</f>
        <v>-2.3999999999999994E-3</v>
      </c>
    </row>
    <row r="71" spans="1:22">
      <c r="A71" s="144">
        <v>60</v>
      </c>
      <c r="B71" s="138" t="s">
        <v>102</v>
      </c>
      <c r="C71" s="139" t="s">
        <v>56</v>
      </c>
      <c r="D71" s="2">
        <v>2580063720.5019398</v>
      </c>
      <c r="E71" s="3">
        <f t="shared" si="20"/>
        <v>1.1001960262546738E-2</v>
      </c>
      <c r="F71" s="2">
        <v>4199.3596059923902</v>
      </c>
      <c r="G71" s="2">
        <v>4199.3596059923902</v>
      </c>
      <c r="H71" s="58">
        <v>1048</v>
      </c>
      <c r="I71" s="5">
        <v>0.10783713424808397</v>
      </c>
      <c r="J71" s="5">
        <v>9.4679746667596418E-2</v>
      </c>
      <c r="K71" s="2">
        <v>2398267473.3785901</v>
      </c>
      <c r="L71" s="3">
        <f t="shared" si="14"/>
        <v>1.0353916200744192E-2</v>
      </c>
      <c r="M71" s="2">
        <v>4207.6691004157801</v>
      </c>
      <c r="N71" s="2">
        <v>4207.6691004157801</v>
      </c>
      <c r="O71" s="58">
        <v>1046</v>
      </c>
      <c r="P71" s="5">
        <v>0.10346050161079887</v>
      </c>
      <c r="Q71" s="5">
        <v>9.5166367363144266E-2</v>
      </c>
      <c r="R71" s="77">
        <f t="shared" si="15"/>
        <v>-7.0461921416414483E-2</v>
      </c>
      <c r="S71" s="77">
        <f t="shared" si="16"/>
        <v>1.9787527630480656E-3</v>
      </c>
      <c r="T71" s="77">
        <f t="shared" si="17"/>
        <v>-1.9083969465648854E-3</v>
      </c>
      <c r="U71" s="78">
        <f t="shared" si="18"/>
        <v>-4.376632637285105E-3</v>
      </c>
      <c r="V71" s="80">
        <f t="shared" si="19"/>
        <v>4.8662069554784859E-4</v>
      </c>
    </row>
    <row r="72" spans="1:22">
      <c r="A72" s="149">
        <v>61</v>
      </c>
      <c r="B72" s="138" t="s">
        <v>103</v>
      </c>
      <c r="C72" s="139" t="s">
        <v>58</v>
      </c>
      <c r="D72" s="2">
        <v>344898428.25999999</v>
      </c>
      <c r="E72" s="3">
        <f t="shared" si="20"/>
        <v>1.4707229019883014E-3</v>
      </c>
      <c r="F72" s="14">
        <v>108.84</v>
      </c>
      <c r="G72" s="14">
        <v>108.84</v>
      </c>
      <c r="H72" s="58">
        <v>128</v>
      </c>
      <c r="I72" s="5">
        <v>2.2000000000000001E-3</v>
      </c>
      <c r="J72" s="5">
        <v>0.1113</v>
      </c>
      <c r="K72" s="2">
        <v>346653427.55000001</v>
      </c>
      <c r="L72" s="3">
        <f t="shared" si="14"/>
        <v>1.496588924877961E-3</v>
      </c>
      <c r="M72" s="14">
        <v>109.04</v>
      </c>
      <c r="N72" s="14">
        <v>109.04</v>
      </c>
      <c r="O72" s="58">
        <v>128</v>
      </c>
      <c r="P72" s="5">
        <v>1.8E-3</v>
      </c>
      <c r="Q72" s="5">
        <v>0.11119999999999999</v>
      </c>
      <c r="R72" s="77">
        <f t="shared" si="15"/>
        <v>5.0884525593634308E-3</v>
      </c>
      <c r="S72" s="77">
        <f t="shared" si="16"/>
        <v>1.8375597206909484E-3</v>
      </c>
      <c r="T72" s="77">
        <f t="shared" si="17"/>
        <v>0</v>
      </c>
      <c r="U72" s="78">
        <f t="shared" si="18"/>
        <v>-4.0000000000000018E-4</v>
      </c>
      <c r="V72" s="80">
        <f t="shared" si="19"/>
        <v>-1.0000000000000286E-4</v>
      </c>
    </row>
    <row r="73" spans="1:22" ht="13.5" customHeight="1">
      <c r="A73" s="140">
        <v>62</v>
      </c>
      <c r="B73" s="138" t="s">
        <v>104</v>
      </c>
      <c r="C73" s="139" t="s">
        <v>105</v>
      </c>
      <c r="D73" s="2">
        <v>334405157.37</v>
      </c>
      <c r="E73" s="3">
        <f t="shared" si="20"/>
        <v>1.4259772825531895E-3</v>
      </c>
      <c r="F73" s="14">
        <v>1.3492999999999999</v>
      </c>
      <c r="G73" s="14">
        <v>1.3492999999999999</v>
      </c>
      <c r="H73" s="58">
        <v>335</v>
      </c>
      <c r="I73" s="5">
        <v>-2.8623585250091232E-2</v>
      </c>
      <c r="J73" s="5">
        <v>1.5632677499092362E-2</v>
      </c>
      <c r="K73" s="2">
        <v>335401786.87</v>
      </c>
      <c r="L73" s="3">
        <f t="shared" si="14"/>
        <v>1.4480127981469897E-3</v>
      </c>
      <c r="M73" s="14">
        <v>1.3514999999999999</v>
      </c>
      <c r="N73" s="14">
        <v>1.3514999999999999</v>
      </c>
      <c r="O73" s="58">
        <v>337</v>
      </c>
      <c r="P73" s="5">
        <v>1.6304750611428886E-3</v>
      </c>
      <c r="Q73" s="5">
        <v>3.1112779726182427E-2</v>
      </c>
      <c r="R73" s="77">
        <f t="shared" si="15"/>
        <v>2.9803054110714177E-3</v>
      </c>
      <c r="S73" s="77">
        <f t="shared" si="16"/>
        <v>1.6304750611428E-3</v>
      </c>
      <c r="T73" s="77">
        <f t="shared" si="17"/>
        <v>5.9701492537313433E-3</v>
      </c>
      <c r="U73" s="78">
        <f t="shared" si="18"/>
        <v>3.0254060311234121E-2</v>
      </c>
      <c r="V73" s="80">
        <f t="shared" si="19"/>
        <v>1.5480102227090065E-2</v>
      </c>
    </row>
    <row r="74" spans="1:22">
      <c r="A74" s="144">
        <v>63</v>
      </c>
      <c r="B74" s="138" t="s">
        <v>106</v>
      </c>
      <c r="C74" s="139" t="s">
        <v>25</v>
      </c>
      <c r="D74" s="2">
        <v>113799071.26000001</v>
      </c>
      <c r="E74" s="3">
        <f t="shared" si="20"/>
        <v>4.8526431729898169E-4</v>
      </c>
      <c r="F74" s="14">
        <v>120.19450000000001</v>
      </c>
      <c r="G74" s="14">
        <v>120.19450000000001</v>
      </c>
      <c r="H74" s="58">
        <v>134</v>
      </c>
      <c r="I74" s="5">
        <v>4.1199999999999999E-4</v>
      </c>
      <c r="J74" s="5">
        <v>0.16070000000000001</v>
      </c>
      <c r="K74" s="2">
        <v>114627497.95999999</v>
      </c>
      <c r="L74" s="3">
        <f t="shared" si="14"/>
        <v>4.9487537205632648E-4</v>
      </c>
      <c r="M74" s="14">
        <v>120.5339</v>
      </c>
      <c r="N74" s="14">
        <v>120.5339</v>
      </c>
      <c r="O74" s="58">
        <v>136</v>
      </c>
      <c r="P74" s="5">
        <v>2.5900000000000001E-4</v>
      </c>
      <c r="Q74" s="5">
        <v>0.16370000000000001</v>
      </c>
      <c r="R74" s="77">
        <f t="shared" si="15"/>
        <v>7.279731643040019E-3</v>
      </c>
      <c r="S74" s="77">
        <f t="shared" si="16"/>
        <v>2.8237564946815177E-3</v>
      </c>
      <c r="T74" s="77">
        <f t="shared" si="17"/>
        <v>1.4925373134328358E-2</v>
      </c>
      <c r="U74" s="78">
        <f t="shared" si="18"/>
        <v>-1.5299999999999998E-4</v>
      </c>
      <c r="V74" s="80">
        <f t="shared" si="19"/>
        <v>3.0000000000000027E-3</v>
      </c>
    </row>
    <row r="75" spans="1:22">
      <c r="A75" s="81">
        <v>64</v>
      </c>
      <c r="B75" s="152" t="s">
        <v>107</v>
      </c>
      <c r="C75" s="153" t="s">
        <v>108</v>
      </c>
      <c r="D75" s="2">
        <v>1646166713.8800004</v>
      </c>
      <c r="E75" s="3">
        <f t="shared" si="20"/>
        <v>7.0196176271613495E-3</v>
      </c>
      <c r="F75" s="7">
        <v>1000</v>
      </c>
      <c r="G75" s="7">
        <v>1000</v>
      </c>
      <c r="H75" s="58">
        <v>330</v>
      </c>
      <c r="I75" s="5">
        <v>2.8999999999999998E-3</v>
      </c>
      <c r="J75" s="5">
        <v>0.15540000000000001</v>
      </c>
      <c r="K75" s="2">
        <v>1636585970.6800003</v>
      </c>
      <c r="L75" s="3">
        <f t="shared" si="14"/>
        <v>7.0655480190717525E-3</v>
      </c>
      <c r="M75" s="7">
        <v>1000</v>
      </c>
      <c r="N75" s="7">
        <v>1000</v>
      </c>
      <c r="O75" s="58">
        <v>332</v>
      </c>
      <c r="P75" s="5">
        <v>5.8999999999999999E-3</v>
      </c>
      <c r="Q75" s="5">
        <v>0.15690000000000001</v>
      </c>
      <c r="R75" s="77">
        <f t="shared" si="15"/>
        <v>-5.8200321505823193E-3</v>
      </c>
      <c r="S75" s="77">
        <f t="shared" si="16"/>
        <v>0</v>
      </c>
      <c r="T75" s="77">
        <f t="shared" si="17"/>
        <v>6.0606060606060606E-3</v>
      </c>
      <c r="U75" s="78">
        <f t="shared" si="18"/>
        <v>3.0000000000000001E-3</v>
      </c>
      <c r="V75" s="80">
        <f t="shared" si="19"/>
        <v>1.5000000000000013E-3</v>
      </c>
    </row>
    <row r="76" spans="1:22">
      <c r="A76" s="81">
        <v>65</v>
      </c>
      <c r="B76" s="152" t="s">
        <v>109</v>
      </c>
      <c r="C76" s="153" t="s">
        <v>64</v>
      </c>
      <c r="D76" s="2">
        <v>209442959.13999999</v>
      </c>
      <c r="E76" s="3">
        <f t="shared" si="20"/>
        <v>8.9311093188046994E-4</v>
      </c>
      <c r="F76" s="7">
        <v>1021.41</v>
      </c>
      <c r="G76" s="7">
        <v>1021.5</v>
      </c>
      <c r="H76" s="58">
        <v>76</v>
      </c>
      <c r="I76" s="5">
        <v>0</v>
      </c>
      <c r="J76" s="5">
        <v>2.6800000000000001E-2</v>
      </c>
      <c r="K76" s="2">
        <v>210500124.63999999</v>
      </c>
      <c r="L76" s="3">
        <f t="shared" si="14"/>
        <v>9.0878130774061164E-4</v>
      </c>
      <c r="M76" s="7">
        <v>1025.74</v>
      </c>
      <c r="N76" s="7">
        <v>1026.6099999999999</v>
      </c>
      <c r="O76" s="58">
        <v>76</v>
      </c>
      <c r="P76" s="5">
        <v>4.5999999999999999E-3</v>
      </c>
      <c r="Q76" s="5">
        <v>3.1399999999999997E-2</v>
      </c>
      <c r="R76" s="77">
        <f t="shared" si="15"/>
        <v>5.0475103309314331E-3</v>
      </c>
      <c r="S76" s="77">
        <f t="shared" si="16"/>
        <v>5.0024473813019086E-3</v>
      </c>
      <c r="T76" s="77">
        <f t="shared" si="17"/>
        <v>0</v>
      </c>
      <c r="U76" s="78">
        <f t="shared" si="18"/>
        <v>4.5999999999999999E-3</v>
      </c>
      <c r="V76" s="80">
        <f t="shared" si="19"/>
        <v>4.5999999999999965E-3</v>
      </c>
    </row>
    <row r="77" spans="1:22">
      <c r="A77" s="151">
        <v>66</v>
      </c>
      <c r="B77" s="138" t="s">
        <v>110</v>
      </c>
      <c r="C77" s="139" t="s">
        <v>67</v>
      </c>
      <c r="D77" s="2">
        <v>908788322.69000006</v>
      </c>
      <c r="E77" s="3">
        <f t="shared" si="20"/>
        <v>3.8752736739993106E-3</v>
      </c>
      <c r="F77" s="15">
        <v>1.1760999999999999</v>
      </c>
      <c r="G77" s="15">
        <v>1.1760999999999999</v>
      </c>
      <c r="H77" s="58">
        <v>43</v>
      </c>
      <c r="I77" s="5">
        <v>2.5573267411131972E-3</v>
      </c>
      <c r="J77" s="5">
        <v>0.26366242250554439</v>
      </c>
      <c r="K77" s="2">
        <v>1008160383.4299999</v>
      </c>
      <c r="L77" s="3">
        <f t="shared" si="14"/>
        <v>4.3524787134101902E-3</v>
      </c>
      <c r="M77" s="15">
        <v>1.1791</v>
      </c>
      <c r="N77" s="15">
        <v>1.1791</v>
      </c>
      <c r="O77" s="58">
        <v>45</v>
      </c>
      <c r="P77" s="5">
        <v>2.5508035031035744E-3</v>
      </c>
      <c r="Q77" s="5">
        <v>0.27626872406628333</v>
      </c>
      <c r="R77" s="77">
        <f t="shared" si="15"/>
        <v>0.10934566197534323</v>
      </c>
      <c r="S77" s="77">
        <f t="shared" si="16"/>
        <v>2.5508035031035744E-3</v>
      </c>
      <c r="T77" s="77">
        <f t="shared" si="17"/>
        <v>4.6511627906976744E-2</v>
      </c>
      <c r="U77" s="78">
        <f t="shared" si="18"/>
        <v>-6.5232380096228934E-6</v>
      </c>
      <c r="V77" s="80">
        <f t="shared" si="19"/>
        <v>1.2606301560738942E-2</v>
      </c>
    </row>
    <row r="78" spans="1:22">
      <c r="A78" s="146">
        <v>67</v>
      </c>
      <c r="B78" s="138" t="s">
        <v>111</v>
      </c>
      <c r="C78" s="139" t="s">
        <v>27</v>
      </c>
      <c r="D78" s="2">
        <v>40771278903.940002</v>
      </c>
      <c r="E78" s="3">
        <f t="shared" si="20"/>
        <v>0.17385771785012036</v>
      </c>
      <c r="F78" s="15">
        <v>1646.04</v>
      </c>
      <c r="G78" s="15">
        <v>1646.04</v>
      </c>
      <c r="H78" s="58">
        <v>2343</v>
      </c>
      <c r="I78" s="5">
        <v>2E-3</v>
      </c>
      <c r="J78" s="5">
        <v>6.3700000000000007E-2</v>
      </c>
      <c r="K78" s="2">
        <v>39994378758.150002</v>
      </c>
      <c r="L78" s="3">
        <f t="shared" si="14"/>
        <v>0.17266566417604046</v>
      </c>
      <c r="M78" s="15">
        <v>1648.69</v>
      </c>
      <c r="N78" s="15">
        <v>1648.69</v>
      </c>
      <c r="O78" s="58">
        <v>2331</v>
      </c>
      <c r="P78" s="5">
        <v>1.6000000000000001E-3</v>
      </c>
      <c r="Q78" s="5">
        <v>6.5500000000000003E-2</v>
      </c>
      <c r="R78" s="77">
        <f t="shared" si="15"/>
        <v>-1.9055084036496188E-2</v>
      </c>
      <c r="S78" s="77">
        <f t="shared" si="16"/>
        <v>1.609924424679893E-3</v>
      </c>
      <c r="T78" s="77">
        <f t="shared" si="17"/>
        <v>-5.1216389244558257E-3</v>
      </c>
      <c r="U78" s="78">
        <f t="shared" si="18"/>
        <v>-3.9999999999999996E-4</v>
      </c>
      <c r="V78" s="80">
        <f t="shared" si="19"/>
        <v>1.799999999999996E-3</v>
      </c>
    </row>
    <row r="79" spans="1:22">
      <c r="A79" s="146">
        <v>68</v>
      </c>
      <c r="B79" s="138" t="s">
        <v>112</v>
      </c>
      <c r="C79" s="139" t="s">
        <v>72</v>
      </c>
      <c r="D79" s="2">
        <v>23181494.120000001</v>
      </c>
      <c r="E79" s="3">
        <f t="shared" si="20"/>
        <v>9.8850999340854891E-5</v>
      </c>
      <c r="F79" s="14">
        <v>0.70699999999999996</v>
      </c>
      <c r="G79" s="14">
        <v>0.70699999999999996</v>
      </c>
      <c r="H79" s="58">
        <v>746</v>
      </c>
      <c r="I79" s="5">
        <v>-4.2700000000000002E-2</v>
      </c>
      <c r="J79" s="5">
        <v>-7.51E-2</v>
      </c>
      <c r="K79" s="2">
        <v>22574016.800000001</v>
      </c>
      <c r="L79" s="3">
        <f t="shared" si="14"/>
        <v>9.7457635920868398E-5</v>
      </c>
      <c r="M79" s="14">
        <v>0.6885</v>
      </c>
      <c r="N79" s="14">
        <v>0.6885</v>
      </c>
      <c r="O79" s="58">
        <v>746</v>
      </c>
      <c r="P79" s="5">
        <v>-2.5899999999999999E-2</v>
      </c>
      <c r="Q79" s="5">
        <v>-9.9299999999999999E-2</v>
      </c>
      <c r="R79" s="77">
        <f t="shared" si="15"/>
        <v>-2.6205270327070717E-2</v>
      </c>
      <c r="S79" s="77">
        <f t="shared" si="16"/>
        <v>-2.6166902404526113E-2</v>
      </c>
      <c r="T79" s="77">
        <f t="shared" si="17"/>
        <v>0</v>
      </c>
      <c r="U79" s="78">
        <f t="shared" si="18"/>
        <v>1.6800000000000002E-2</v>
      </c>
      <c r="V79" s="80">
        <f t="shared" si="19"/>
        <v>-2.4199999999999999E-2</v>
      </c>
    </row>
    <row r="80" spans="1:22">
      <c r="A80" s="144">
        <v>69</v>
      </c>
      <c r="B80" s="138" t="s">
        <v>249</v>
      </c>
      <c r="C80" s="139" t="s">
        <v>32</v>
      </c>
      <c r="D80" s="2">
        <v>10355165311.200001</v>
      </c>
      <c r="E80" s="3">
        <f t="shared" si="20"/>
        <v>4.4156706813334369E-2</v>
      </c>
      <c r="F80" s="14">
        <v>1</v>
      </c>
      <c r="G80" s="14">
        <v>1</v>
      </c>
      <c r="H80" s="58">
        <v>5236</v>
      </c>
      <c r="I80" s="5">
        <v>0.06</v>
      </c>
      <c r="J80" s="5">
        <v>0.06</v>
      </c>
      <c r="K80" s="2">
        <v>10313758692.67</v>
      </c>
      <c r="L80" s="3">
        <f t="shared" si="14"/>
        <v>4.4527057304481338E-2</v>
      </c>
      <c r="M80" s="14">
        <v>1</v>
      </c>
      <c r="N80" s="14">
        <v>1</v>
      </c>
      <c r="O80" s="58">
        <v>5237</v>
      </c>
      <c r="P80" s="5">
        <v>0.06</v>
      </c>
      <c r="Q80" s="5">
        <v>0.06</v>
      </c>
      <c r="R80" s="77">
        <f>((K80-D80)/D80)</f>
        <v>-3.9986438927455724E-3</v>
      </c>
      <c r="S80" s="77">
        <f>((N80-G80)/G80)</f>
        <v>0</v>
      </c>
      <c r="T80" s="77">
        <f>((O80-H80)/H80)</f>
        <v>1.9098548510313216E-4</v>
      </c>
      <c r="U80" s="78">
        <f>P80-I80</f>
        <v>0</v>
      </c>
      <c r="V80" s="80">
        <f>Q80-J80</f>
        <v>0</v>
      </c>
    </row>
    <row r="81" spans="1:22">
      <c r="A81" s="144">
        <v>70</v>
      </c>
      <c r="B81" s="138" t="s">
        <v>113</v>
      </c>
      <c r="C81" s="139" t="s">
        <v>114</v>
      </c>
      <c r="D81" s="2">
        <v>1195077540.8800001</v>
      </c>
      <c r="E81" s="3">
        <f t="shared" si="20"/>
        <v>5.0960739887718409E-3</v>
      </c>
      <c r="F81" s="2">
        <v>226.529584</v>
      </c>
      <c r="G81" s="2">
        <v>228.35799900000001</v>
      </c>
      <c r="H81" s="58">
        <v>488</v>
      </c>
      <c r="I81" s="5">
        <v>1.5E-3</v>
      </c>
      <c r="J81" s="5">
        <v>8.6599999999999996E-2</v>
      </c>
      <c r="K81" s="2">
        <v>1184353045.02</v>
      </c>
      <c r="L81" s="3">
        <f t="shared" si="14"/>
        <v>5.1131461842152531E-3</v>
      </c>
      <c r="M81" s="2">
        <v>227.26050699999999</v>
      </c>
      <c r="N81" s="2">
        <v>229.20747</v>
      </c>
      <c r="O81" s="58">
        <v>488</v>
      </c>
      <c r="P81" s="5">
        <v>8.9999999999999998E-4</v>
      </c>
      <c r="Q81" s="5">
        <v>8.0500000000000002E-2</v>
      </c>
      <c r="R81" s="77">
        <f t="shared" si="15"/>
        <v>-8.9738912272613776E-3</v>
      </c>
      <c r="S81" s="77">
        <f t="shared" si="16"/>
        <v>3.71990910640268E-3</v>
      </c>
      <c r="T81" s="77">
        <f t="shared" si="17"/>
        <v>0</v>
      </c>
      <c r="U81" s="78">
        <f t="shared" si="18"/>
        <v>-6.0000000000000006E-4</v>
      </c>
      <c r="V81" s="80">
        <f t="shared" si="19"/>
        <v>-6.0999999999999943E-3</v>
      </c>
    </row>
    <row r="82" spans="1:22">
      <c r="A82" s="144">
        <v>71</v>
      </c>
      <c r="B82" s="138" t="s">
        <v>115</v>
      </c>
      <c r="C82" s="139" t="s">
        <v>34</v>
      </c>
      <c r="D82" s="2">
        <v>1050677197.9299999</v>
      </c>
      <c r="E82" s="3">
        <f t="shared" si="20"/>
        <v>4.4803191055068055E-3</v>
      </c>
      <c r="F82" s="14">
        <v>3.47</v>
      </c>
      <c r="G82" s="14">
        <v>3.47</v>
      </c>
      <c r="H82" s="59">
        <v>771</v>
      </c>
      <c r="I82" s="12">
        <v>1.5E-3</v>
      </c>
      <c r="J82" s="12">
        <v>-5.79E-2</v>
      </c>
      <c r="K82" s="2">
        <v>1051206481.01</v>
      </c>
      <c r="L82" s="3">
        <f t="shared" si="14"/>
        <v>4.5383194055180218E-3</v>
      </c>
      <c r="M82" s="14">
        <v>3.47</v>
      </c>
      <c r="N82" s="14">
        <v>3.47</v>
      </c>
      <c r="O82" s="59">
        <v>771</v>
      </c>
      <c r="P82" s="12">
        <v>5.9999999999999995E-4</v>
      </c>
      <c r="Q82" s="12">
        <v>-5.4899999999999997E-2</v>
      </c>
      <c r="R82" s="77">
        <f t="shared" si="15"/>
        <v>5.0375422731435899E-4</v>
      </c>
      <c r="S82" s="77">
        <f t="shared" si="16"/>
        <v>0</v>
      </c>
      <c r="T82" s="77">
        <f t="shared" si="17"/>
        <v>0</v>
      </c>
      <c r="U82" s="78">
        <f t="shared" si="18"/>
        <v>-9.0000000000000008E-4</v>
      </c>
      <c r="V82" s="80">
        <f t="shared" si="19"/>
        <v>3.0000000000000027E-3</v>
      </c>
    </row>
    <row r="83" spans="1:22">
      <c r="A83" s="146">
        <v>72</v>
      </c>
      <c r="B83" s="138" t="s">
        <v>256</v>
      </c>
      <c r="C83" s="139" t="s">
        <v>36</v>
      </c>
      <c r="D83" s="2">
        <v>529140184.31050003</v>
      </c>
      <c r="E83" s="3">
        <f t="shared" si="20"/>
        <v>2.2563703504067784E-3</v>
      </c>
      <c r="F83" s="14">
        <v>104.48</v>
      </c>
      <c r="G83" s="14">
        <v>104.48</v>
      </c>
      <c r="H83" s="59">
        <v>62</v>
      </c>
      <c r="I83" s="12">
        <v>0.14019999999999999</v>
      </c>
      <c r="J83" s="12">
        <v>0.16270000000000001</v>
      </c>
      <c r="K83" s="2">
        <v>526603332.30000001</v>
      </c>
      <c r="L83" s="3">
        <f t="shared" si="14"/>
        <v>2.2734773473726427E-3</v>
      </c>
      <c r="M83" s="14">
        <v>104.85</v>
      </c>
      <c r="N83" s="14">
        <v>104.85</v>
      </c>
      <c r="O83" s="59">
        <v>62</v>
      </c>
      <c r="P83" s="12">
        <v>0.14019999999999999</v>
      </c>
      <c r="Q83" s="12">
        <v>0.16300000000000001</v>
      </c>
      <c r="R83" s="77">
        <f>((K83-D83)/D83)</f>
        <v>-4.7942909756621063E-3</v>
      </c>
      <c r="S83" s="77">
        <f>((N83-G83)/G83)</f>
        <v>3.5413476263398769E-3</v>
      </c>
      <c r="T83" s="77">
        <f>((O83-H83)/H83)</f>
        <v>0</v>
      </c>
      <c r="U83" s="78">
        <f>P83-I83</f>
        <v>0</v>
      </c>
      <c r="V83" s="80">
        <f>Q83-J83</f>
        <v>2.9999999999999472E-4</v>
      </c>
    </row>
    <row r="84" spans="1:22">
      <c r="A84" s="81">
        <v>73</v>
      </c>
      <c r="B84" s="153" t="s">
        <v>116</v>
      </c>
      <c r="C84" s="155" t="s">
        <v>40</v>
      </c>
      <c r="D84" s="2">
        <v>1730894847.5899999</v>
      </c>
      <c r="E84" s="3">
        <f t="shared" si="20"/>
        <v>7.3809170605008525E-3</v>
      </c>
      <c r="F84" s="14">
        <v>104.48</v>
      </c>
      <c r="G84" s="14">
        <v>104.48</v>
      </c>
      <c r="H84" s="58">
        <v>139</v>
      </c>
      <c r="I84" s="5">
        <v>2.0999999999999999E-3</v>
      </c>
      <c r="J84" s="5">
        <v>0.10920000000000001</v>
      </c>
      <c r="K84" s="2">
        <v>1738957410.8599999</v>
      </c>
      <c r="L84" s="3">
        <f t="shared" si="14"/>
        <v>7.5075109463677648E-3</v>
      </c>
      <c r="M84" s="14">
        <v>97.69</v>
      </c>
      <c r="N84" s="14">
        <v>97.69</v>
      </c>
      <c r="O84" s="58">
        <v>139</v>
      </c>
      <c r="P84" s="5">
        <v>-6.5000000000000002E-2</v>
      </c>
      <c r="Q84" s="5">
        <v>5.9900000000000002E-2</v>
      </c>
      <c r="R84" s="77">
        <f t="shared" si="15"/>
        <v>4.658031815870177E-3</v>
      </c>
      <c r="S84" s="77">
        <f t="shared" si="16"/>
        <v>-6.4988514548238951E-2</v>
      </c>
      <c r="T84" s="77">
        <f t="shared" si="17"/>
        <v>0</v>
      </c>
      <c r="U84" s="78">
        <f t="shared" si="18"/>
        <v>-6.7100000000000007E-2</v>
      </c>
      <c r="V84" s="80">
        <f t="shared" si="19"/>
        <v>-4.9300000000000004E-2</v>
      </c>
    </row>
    <row r="85" spans="1:22">
      <c r="A85" s="146">
        <v>74</v>
      </c>
      <c r="B85" s="138" t="s">
        <v>117</v>
      </c>
      <c r="C85" s="139" t="s">
        <v>17</v>
      </c>
      <c r="D85" s="2">
        <v>1271313552.5699999</v>
      </c>
      <c r="E85" s="3">
        <f t="shared" si="20"/>
        <v>5.4211611424430884E-3</v>
      </c>
      <c r="F85" s="14">
        <v>345.49239999999998</v>
      </c>
      <c r="G85" s="14">
        <v>345.49239999999998</v>
      </c>
      <c r="H85" s="58">
        <v>105</v>
      </c>
      <c r="I85" s="5">
        <v>2.3E-3</v>
      </c>
      <c r="J85" s="5">
        <v>5.5500000000000001E-2</v>
      </c>
      <c r="K85" s="2">
        <v>1274221574.0899999</v>
      </c>
      <c r="L85" s="3">
        <f t="shared" si="14"/>
        <v>5.5011309396287436E-3</v>
      </c>
      <c r="M85" s="14">
        <v>346.28269999999998</v>
      </c>
      <c r="N85" s="14" t="s">
        <v>286</v>
      </c>
      <c r="O85" s="58">
        <v>105</v>
      </c>
      <c r="P85" s="5">
        <v>2.3E-3</v>
      </c>
      <c r="Q85" s="5">
        <v>5.7799999999999997E-2</v>
      </c>
      <c r="R85" s="77">
        <f t="shared" si="15"/>
        <v>2.2874148663965116E-3</v>
      </c>
      <c r="S85" s="77" t="e">
        <f t="shared" si="16"/>
        <v>#VALUE!</v>
      </c>
      <c r="T85" s="77">
        <f t="shared" si="17"/>
        <v>0</v>
      </c>
      <c r="U85" s="78">
        <f t="shared" si="18"/>
        <v>0</v>
      </c>
      <c r="V85" s="80">
        <f t="shared" si="19"/>
        <v>2.2999999999999965E-3</v>
      </c>
    </row>
    <row r="86" spans="1:22">
      <c r="A86" s="144">
        <v>75</v>
      </c>
      <c r="B86" s="138" t="s">
        <v>250</v>
      </c>
      <c r="C86" s="139" t="s">
        <v>78</v>
      </c>
      <c r="D86" s="9">
        <v>1631004050.3099999</v>
      </c>
      <c r="E86" s="3">
        <f>(D86/$K$61)</f>
        <v>1.3979361183910997E-3</v>
      </c>
      <c r="F86" s="14">
        <v>101.59</v>
      </c>
      <c r="G86" s="14">
        <v>101.59</v>
      </c>
      <c r="H86" s="58">
        <v>373</v>
      </c>
      <c r="I86" s="5">
        <v>2.8E-3</v>
      </c>
      <c r="J86" s="5">
        <v>7.2400000000000006E-2</v>
      </c>
      <c r="K86" s="9">
        <v>1626435320.22</v>
      </c>
      <c r="L86" s="3">
        <f>(K86/$K$61)</f>
        <v>1.3940202526967276E-3</v>
      </c>
      <c r="M86" s="14">
        <v>101.88</v>
      </c>
      <c r="N86" s="14">
        <v>101.88</v>
      </c>
      <c r="O86" s="58">
        <v>373</v>
      </c>
      <c r="P86" s="5">
        <v>2.8E-3</v>
      </c>
      <c r="Q86" s="5">
        <v>7.5200000000000003E-2</v>
      </c>
      <c r="R86" s="77">
        <f t="shared" si="15"/>
        <v>-2.80117642205214E-3</v>
      </c>
      <c r="S86" s="77">
        <f t="shared" si="16"/>
        <v>2.8546116743773209E-3</v>
      </c>
      <c r="T86" s="77">
        <f t="shared" si="17"/>
        <v>0</v>
      </c>
      <c r="U86" s="78">
        <f t="shared" si="18"/>
        <v>0</v>
      </c>
      <c r="V86" s="80">
        <f t="shared" si="19"/>
        <v>2.7999999999999969E-3</v>
      </c>
    </row>
    <row r="87" spans="1:22">
      <c r="A87" s="146">
        <v>76</v>
      </c>
      <c r="B87" s="138" t="s">
        <v>118</v>
      </c>
      <c r="C87" s="139" t="s">
        <v>38</v>
      </c>
      <c r="D87" s="2">
        <v>57539288.259999998</v>
      </c>
      <c r="E87" s="3">
        <f t="shared" ref="E87:E98" si="21">(D87/$D$99)</f>
        <v>2.4536020484354005E-4</v>
      </c>
      <c r="F87" s="2">
        <v>12.567614000000001</v>
      </c>
      <c r="G87" s="2">
        <v>12.746898</v>
      </c>
      <c r="H87" s="58">
        <v>56</v>
      </c>
      <c r="I87" s="5">
        <v>1.6999999999999999E-3</v>
      </c>
      <c r="J87" s="5">
        <v>9.1800000000000007E-2</v>
      </c>
      <c r="K87" s="2">
        <v>57540464.780000001</v>
      </c>
      <c r="L87" s="3">
        <f t="shared" ref="L87:L98" si="22">(K87/$K$99)</f>
        <v>2.484164744329769E-4</v>
      </c>
      <c r="M87" s="2">
        <v>12.567614000000001</v>
      </c>
      <c r="N87" s="2">
        <v>12.746898</v>
      </c>
      <c r="O87" s="58">
        <v>56</v>
      </c>
      <c r="P87" s="5">
        <v>-8.3000000000000001E-3</v>
      </c>
      <c r="Q87" s="5">
        <v>8.7800000000000003E-2</v>
      </c>
      <c r="R87" s="77">
        <f t="shared" si="15"/>
        <v>2.044724631780279E-5</v>
      </c>
      <c r="S87" s="77">
        <f t="shared" si="16"/>
        <v>0</v>
      </c>
      <c r="T87" s="77">
        <f t="shared" si="17"/>
        <v>0</v>
      </c>
      <c r="U87" s="78">
        <f t="shared" si="18"/>
        <v>-0.01</v>
      </c>
      <c r="V87" s="80">
        <f t="shared" si="19"/>
        <v>-4.0000000000000036E-3</v>
      </c>
    </row>
    <row r="88" spans="1:22">
      <c r="A88" s="149">
        <v>77</v>
      </c>
      <c r="B88" s="138" t="s">
        <v>234</v>
      </c>
      <c r="C88" s="139" t="s">
        <v>235</v>
      </c>
      <c r="D88" s="2">
        <v>304748675.88</v>
      </c>
      <c r="E88" s="3">
        <f t="shared" si="21"/>
        <v>1.2995155101995764E-3</v>
      </c>
      <c r="F88" s="2">
        <v>121.78</v>
      </c>
      <c r="G88" s="2">
        <v>121.78</v>
      </c>
      <c r="H88" s="58">
        <v>85</v>
      </c>
      <c r="I88" s="5">
        <v>0.14729999999999999</v>
      </c>
      <c r="J88" s="5">
        <v>0.1741</v>
      </c>
      <c r="K88" s="2">
        <v>306417121</v>
      </c>
      <c r="L88" s="3">
        <f t="shared" si="22"/>
        <v>1.322878798350973E-3</v>
      </c>
      <c r="M88" s="2">
        <v>122.11</v>
      </c>
      <c r="N88" s="2">
        <v>122.11</v>
      </c>
      <c r="O88" s="58">
        <v>85</v>
      </c>
      <c r="P88" s="5">
        <v>0.151</v>
      </c>
      <c r="Q88" s="5">
        <v>0.17330000000000001</v>
      </c>
      <c r="R88" s="77">
        <f>((K88-D88)/D88)</f>
        <v>5.4748231971218919E-3</v>
      </c>
      <c r="S88" s="77">
        <f>((N88-G88)/G88)</f>
        <v>2.7098045656101027E-3</v>
      </c>
      <c r="T88" s="77">
        <f>((O88-H88)/H88)</f>
        <v>0</v>
      </c>
      <c r="U88" s="78">
        <f t="shared" si="18"/>
        <v>3.7000000000000088E-3</v>
      </c>
      <c r="V88" s="80">
        <f t="shared" si="19"/>
        <v>-7.9999999999999516E-4</v>
      </c>
    </row>
    <row r="89" spans="1:22">
      <c r="A89" s="81">
        <v>78</v>
      </c>
      <c r="B89" s="152" t="s">
        <v>119</v>
      </c>
      <c r="C89" s="153" t="s">
        <v>120</v>
      </c>
      <c r="D89" s="2">
        <v>7130936333.9595823</v>
      </c>
      <c r="E89" s="3">
        <f t="shared" si="21"/>
        <v>3.0407883943932637E-2</v>
      </c>
      <c r="F89" s="2">
        <v>1.0683113006584466</v>
      </c>
      <c r="G89" s="2">
        <v>1.0683113006584466</v>
      </c>
      <c r="H89" s="58">
        <v>4460</v>
      </c>
      <c r="I89" s="5">
        <v>0.1502</v>
      </c>
      <c r="J89" s="5">
        <v>0.1502</v>
      </c>
      <c r="K89" s="2">
        <v>7077541041.54</v>
      </c>
      <c r="L89" s="3">
        <f t="shared" si="22"/>
        <v>3.0555502113447926E-2</v>
      </c>
      <c r="M89" s="2">
        <v>1.0683113006584466</v>
      </c>
      <c r="N89" s="2">
        <v>1.0683113006584466</v>
      </c>
      <c r="O89" s="58">
        <v>4471</v>
      </c>
      <c r="P89" s="5">
        <v>0.15049999999999999</v>
      </c>
      <c r="Q89" s="5">
        <v>0.15049999999999999</v>
      </c>
      <c r="R89" s="77">
        <f t="shared" si="15"/>
        <v>-7.4878374899097801E-3</v>
      </c>
      <c r="S89" s="77">
        <f t="shared" si="16"/>
        <v>0</v>
      </c>
      <c r="T89" s="77">
        <f t="shared" si="17"/>
        <v>2.4663677130044841E-3</v>
      </c>
      <c r="U89" s="78">
        <f t="shared" si="18"/>
        <v>2.9999999999999472E-4</v>
      </c>
      <c r="V89" s="80">
        <f t="shared" si="19"/>
        <v>2.9999999999999472E-4</v>
      </c>
    </row>
    <row r="90" spans="1:22" ht="14.25" customHeight="1">
      <c r="A90" s="81">
        <v>79</v>
      </c>
      <c r="B90" s="152" t="s">
        <v>121</v>
      </c>
      <c r="C90" s="153" t="s">
        <v>42</v>
      </c>
      <c r="D90" s="2">
        <v>17167097000.030001</v>
      </c>
      <c r="E90" s="3">
        <f t="shared" si="21"/>
        <v>7.3204284652656271E-2</v>
      </c>
      <c r="F90" s="2">
        <v>5162.32</v>
      </c>
      <c r="G90" s="2">
        <v>5162.32</v>
      </c>
      <c r="H90" s="58">
        <v>363</v>
      </c>
      <c r="I90" s="5">
        <v>0</v>
      </c>
      <c r="J90" s="5">
        <v>3.0099999999999998E-2</v>
      </c>
      <c r="K90" s="2">
        <v>16456094754.75</v>
      </c>
      <c r="L90" s="3">
        <f t="shared" si="22"/>
        <v>7.104504729914693E-2</v>
      </c>
      <c r="M90" s="2">
        <v>5162.46</v>
      </c>
      <c r="N90" s="2">
        <v>5162.46</v>
      </c>
      <c r="O90" s="58">
        <v>359</v>
      </c>
      <c r="P90" s="5">
        <v>0</v>
      </c>
      <c r="Q90" s="5">
        <v>3.0099999999999998E-2</v>
      </c>
      <c r="R90" s="77">
        <f t="shared" si="15"/>
        <v>-4.1416568292167173E-2</v>
      </c>
      <c r="S90" s="77">
        <f t="shared" si="16"/>
        <v>2.7119589641929872E-5</v>
      </c>
      <c r="T90" s="77">
        <f t="shared" si="17"/>
        <v>-1.1019283746556474E-2</v>
      </c>
      <c r="U90" s="78">
        <f t="shared" si="18"/>
        <v>0</v>
      </c>
      <c r="V90" s="80">
        <f t="shared" si="19"/>
        <v>0</v>
      </c>
    </row>
    <row r="91" spans="1:22">
      <c r="A91" s="81">
        <v>80</v>
      </c>
      <c r="B91" s="152" t="s">
        <v>122</v>
      </c>
      <c r="C91" s="153" t="s">
        <v>42</v>
      </c>
      <c r="D91" s="2">
        <v>27265523827.509998</v>
      </c>
      <c r="E91" s="3">
        <f t="shared" si="21"/>
        <v>0.11626620199497538</v>
      </c>
      <c r="F91" s="14">
        <v>258.38</v>
      </c>
      <c r="G91" s="14">
        <v>258.38</v>
      </c>
      <c r="H91" s="58">
        <v>6546</v>
      </c>
      <c r="I91" s="5">
        <v>0</v>
      </c>
      <c r="J91" s="5">
        <v>0.01</v>
      </c>
      <c r="K91" s="2">
        <v>26252915856.509998</v>
      </c>
      <c r="L91" s="3">
        <f t="shared" si="22"/>
        <v>0.11334035666195412</v>
      </c>
      <c r="M91" s="14">
        <v>258.39</v>
      </c>
      <c r="N91" s="14">
        <v>258.39</v>
      </c>
      <c r="O91" s="58">
        <v>6537</v>
      </c>
      <c r="P91" s="5">
        <v>1E-4</v>
      </c>
      <c r="Q91" s="5">
        <v>1.01E-2</v>
      </c>
      <c r="R91" s="77">
        <f t="shared" si="15"/>
        <v>-3.7138768263029392E-2</v>
      </c>
      <c r="S91" s="77">
        <f t="shared" si="16"/>
        <v>3.8702685966370867E-5</v>
      </c>
      <c r="T91" s="77">
        <f t="shared" si="17"/>
        <v>-1.3748854262144821E-3</v>
      </c>
      <c r="U91" s="78">
        <f t="shared" si="18"/>
        <v>1E-4</v>
      </c>
      <c r="V91" s="80">
        <f t="shared" si="19"/>
        <v>9.9999999999999395E-5</v>
      </c>
    </row>
    <row r="92" spans="1:22" ht="12.75" customHeight="1">
      <c r="A92" s="81">
        <v>81</v>
      </c>
      <c r="B92" s="152" t="s">
        <v>123</v>
      </c>
      <c r="C92" s="153" t="s">
        <v>42</v>
      </c>
      <c r="D92" s="2">
        <v>340250650.5</v>
      </c>
      <c r="E92" s="3">
        <f t="shared" si="21"/>
        <v>1.4509037534074592E-3</v>
      </c>
      <c r="F92" s="2">
        <v>5901.12</v>
      </c>
      <c r="G92" s="7">
        <v>5926.89</v>
      </c>
      <c r="H92" s="58">
        <v>15</v>
      </c>
      <c r="I92" s="5">
        <v>-2.5999999999999999E-3</v>
      </c>
      <c r="J92" s="5">
        <v>0.1164</v>
      </c>
      <c r="K92" s="2">
        <v>342983237.63999999</v>
      </c>
      <c r="L92" s="3">
        <f t="shared" si="22"/>
        <v>1.4807438036849429E-3</v>
      </c>
      <c r="M92" s="2">
        <v>5946.79</v>
      </c>
      <c r="N92" s="7">
        <v>5975.68</v>
      </c>
      <c r="O92" s="58">
        <v>15</v>
      </c>
      <c r="P92" s="5">
        <v>7.0000000000000001E-3</v>
      </c>
      <c r="Q92" s="5">
        <v>0.12559999999999999</v>
      </c>
      <c r="R92" s="77">
        <f t="shared" si="15"/>
        <v>8.0311004137227533E-3</v>
      </c>
      <c r="S92" s="77">
        <f t="shared" si="16"/>
        <v>8.2319732608501194E-3</v>
      </c>
      <c r="T92" s="77">
        <f t="shared" si="17"/>
        <v>0</v>
      </c>
      <c r="U92" s="78">
        <f t="shared" si="18"/>
        <v>9.6000000000000009E-3</v>
      </c>
      <c r="V92" s="80">
        <f t="shared" si="19"/>
        <v>9.199999999999986E-3</v>
      </c>
    </row>
    <row r="93" spans="1:22" ht="12.75" customHeight="1">
      <c r="A93" s="81">
        <v>82</v>
      </c>
      <c r="B93" s="152" t="s">
        <v>124</v>
      </c>
      <c r="C93" s="153" t="s">
        <v>42</v>
      </c>
      <c r="D93" s="2">
        <v>11911398273.01</v>
      </c>
      <c r="E93" s="3">
        <f t="shared" si="21"/>
        <v>5.0792827103327866E-2</v>
      </c>
      <c r="F93" s="14">
        <v>131.58000000000001</v>
      </c>
      <c r="G93" s="14">
        <v>131.58000000000001</v>
      </c>
      <c r="H93" s="58">
        <v>4421</v>
      </c>
      <c r="I93" s="5">
        <v>2.5000000000000001E-3</v>
      </c>
      <c r="J93" s="5">
        <v>4.4900000000000002E-2</v>
      </c>
      <c r="K93" s="2">
        <v>11904078005.469999</v>
      </c>
      <c r="L93" s="3">
        <f t="shared" si="22"/>
        <v>5.1392860672926956E-2</v>
      </c>
      <c r="M93" s="14">
        <v>132.06</v>
      </c>
      <c r="N93" s="14">
        <v>132.06</v>
      </c>
      <c r="O93" s="58">
        <v>4432</v>
      </c>
      <c r="P93" s="5">
        <v>5.5999999999999999E-3</v>
      </c>
      <c r="Q93" s="5">
        <v>4.8800000000000003E-2</v>
      </c>
      <c r="R93" s="77">
        <f t="shared" si="15"/>
        <v>-6.1455988392125941E-4</v>
      </c>
      <c r="S93" s="77">
        <f t="shared" si="16"/>
        <v>3.647970816233392E-3</v>
      </c>
      <c r="T93" s="77">
        <f t="shared" si="17"/>
        <v>2.4881248586292692E-3</v>
      </c>
      <c r="U93" s="78">
        <f t="shared" si="18"/>
        <v>3.0999999999999999E-3</v>
      </c>
      <c r="V93" s="80">
        <f t="shared" si="19"/>
        <v>3.9000000000000007E-3</v>
      </c>
    </row>
    <row r="94" spans="1:22" ht="12.75" customHeight="1">
      <c r="A94" s="81">
        <v>83</v>
      </c>
      <c r="B94" s="152" t="s">
        <v>125</v>
      </c>
      <c r="C94" s="153" t="s">
        <v>42</v>
      </c>
      <c r="D94" s="2">
        <v>10129599616.559999</v>
      </c>
      <c r="E94" s="3">
        <f t="shared" si="21"/>
        <v>4.3194844984379137E-2</v>
      </c>
      <c r="F94" s="14">
        <v>359.4</v>
      </c>
      <c r="G94" s="14">
        <v>359.87</v>
      </c>
      <c r="H94" s="58">
        <v>10209</v>
      </c>
      <c r="I94" s="5">
        <v>1E-4</v>
      </c>
      <c r="J94" s="5">
        <v>1.8499999999999999E-2</v>
      </c>
      <c r="K94" s="2">
        <v>9855764554.8700008</v>
      </c>
      <c r="L94" s="3">
        <f t="shared" si="22"/>
        <v>4.2549782886239375E-2</v>
      </c>
      <c r="M94" s="14">
        <v>359.33</v>
      </c>
      <c r="N94" s="14">
        <v>359.82</v>
      </c>
      <c r="O94" s="58">
        <v>10207</v>
      </c>
      <c r="P94" s="5">
        <v>-1E-4</v>
      </c>
      <c r="Q94" s="5">
        <v>1.83E-2</v>
      </c>
      <c r="R94" s="77">
        <f t="shared" si="15"/>
        <v>-2.7033157484559367E-2</v>
      </c>
      <c r="S94" s="77">
        <f t="shared" si="16"/>
        <v>-1.3893906132773326E-4</v>
      </c>
      <c r="T94" s="77">
        <f t="shared" si="17"/>
        <v>-1.9590557351356646E-4</v>
      </c>
      <c r="U94" s="78">
        <f t="shared" si="18"/>
        <v>-2.0000000000000001E-4</v>
      </c>
      <c r="V94" s="80">
        <f t="shared" si="19"/>
        <v>-1.9999999999999879E-4</v>
      </c>
    </row>
    <row r="95" spans="1:22">
      <c r="A95" s="81">
        <v>84</v>
      </c>
      <c r="B95" s="152" t="s">
        <v>126</v>
      </c>
      <c r="C95" s="153" t="s">
        <v>45</v>
      </c>
      <c r="D95" s="2">
        <v>87336795703.869995</v>
      </c>
      <c r="E95" s="3">
        <f t="shared" si="21"/>
        <v>0.37242334294178059</v>
      </c>
      <c r="F95" s="2">
        <v>1.8943000000000001</v>
      </c>
      <c r="G95" s="2">
        <v>1.8943000000000001</v>
      </c>
      <c r="H95" s="58">
        <v>6232</v>
      </c>
      <c r="I95" s="5">
        <v>8.0199999999999994E-2</v>
      </c>
      <c r="J95" s="5">
        <v>5.1999999999999998E-2</v>
      </c>
      <c r="K95" s="2">
        <v>87445831814.259995</v>
      </c>
      <c r="L95" s="3">
        <f t="shared" si="22"/>
        <v>0.3775253697760888</v>
      </c>
      <c r="M95" s="2">
        <v>1.8971</v>
      </c>
      <c r="N95" s="2">
        <v>1.8971</v>
      </c>
      <c r="O95" s="58">
        <v>6258</v>
      </c>
      <c r="P95" s="5">
        <v>0.08</v>
      </c>
      <c r="Q95" s="5">
        <v>5.28E-2</v>
      </c>
      <c r="R95" s="77">
        <f t="shared" si="15"/>
        <v>1.2484555852003609E-3</v>
      </c>
      <c r="S95" s="77">
        <f t="shared" si="16"/>
        <v>1.478118566224945E-3</v>
      </c>
      <c r="T95" s="77">
        <f t="shared" si="17"/>
        <v>4.1720154043645699E-3</v>
      </c>
      <c r="U95" s="78">
        <f t="shared" si="18"/>
        <v>-1.9999999999999185E-4</v>
      </c>
      <c r="V95" s="80">
        <f t="shared" si="19"/>
        <v>8.000000000000021E-4</v>
      </c>
    </row>
    <row r="96" spans="1:22">
      <c r="A96" s="81">
        <v>85</v>
      </c>
      <c r="B96" s="152" t="s">
        <v>239</v>
      </c>
      <c r="C96" s="152" t="s">
        <v>240</v>
      </c>
      <c r="D96" s="2">
        <v>88803622.319999993</v>
      </c>
      <c r="E96" s="3">
        <f t="shared" si="21"/>
        <v>3.7867821487167565E-4</v>
      </c>
      <c r="F96" s="2">
        <v>106.69979934971489</v>
      </c>
      <c r="G96" s="2">
        <v>106.69979934971489</v>
      </c>
      <c r="H96" s="58">
        <v>58</v>
      </c>
      <c r="I96" s="5">
        <v>1.4701363957973664E-3</v>
      </c>
      <c r="J96" s="5">
        <v>5.0200000000000002E-2</v>
      </c>
      <c r="K96" s="2">
        <v>86721651.129999995</v>
      </c>
      <c r="L96" s="3">
        <f t="shared" si="22"/>
        <v>3.7439890193951235E-4</v>
      </c>
      <c r="M96" s="2">
        <v>106.8610803816736</v>
      </c>
      <c r="N96" s="2">
        <v>106.8610803816736</v>
      </c>
      <c r="O96" s="58">
        <v>58</v>
      </c>
      <c r="P96" s="5">
        <v>1.5115401616651615E-3</v>
      </c>
      <c r="Q96" s="5">
        <v>5.1792639510955807E-2</v>
      </c>
      <c r="R96" s="77">
        <f>((K96-D96)/D96)</f>
        <v>-2.3444665156762468E-2</v>
      </c>
      <c r="S96" s="77">
        <f>((N96-G96)/G96)</f>
        <v>1.5115401616651615E-3</v>
      </c>
      <c r="T96" s="77">
        <f>((O96-H96)/H96)</f>
        <v>0</v>
      </c>
      <c r="U96" s="78">
        <f>P96-I96</f>
        <v>4.140376586779515E-5</v>
      </c>
      <c r="V96" s="80">
        <f>Q96-J96</f>
        <v>1.5926395109558053E-3</v>
      </c>
    </row>
    <row r="97" spans="1:28">
      <c r="A97" s="149">
        <v>86</v>
      </c>
      <c r="B97" s="138" t="s">
        <v>260</v>
      </c>
      <c r="C97" s="139" t="s">
        <v>259</v>
      </c>
      <c r="D97" s="2">
        <v>238063424.56</v>
      </c>
      <c r="E97" s="3">
        <f t="shared" si="21"/>
        <v>1.0151549034088843E-3</v>
      </c>
      <c r="F97" s="2">
        <v>1.0017</v>
      </c>
      <c r="G97" s="2">
        <v>1.0017</v>
      </c>
      <c r="H97" s="58">
        <v>286</v>
      </c>
      <c r="I97" s="5">
        <v>-3.669E-3</v>
      </c>
      <c r="J97" s="5">
        <v>-4.0347000000000001E-2</v>
      </c>
      <c r="K97" s="2">
        <v>235598429.40000001</v>
      </c>
      <c r="L97" s="3">
        <f t="shared" si="22"/>
        <v>1.0171369215953457E-3</v>
      </c>
      <c r="M97" s="2">
        <v>0.99229999999999996</v>
      </c>
      <c r="N97" s="2">
        <v>0.99229999999999996</v>
      </c>
      <c r="O97" s="58">
        <v>288</v>
      </c>
      <c r="P97" s="5">
        <v>-6.6160000000000004E-3</v>
      </c>
      <c r="Q97" s="5">
        <v>-4.6695E-2</v>
      </c>
      <c r="R97" s="77">
        <f>((K97-D97)/D97)</f>
        <v>-1.0354363189372396E-2</v>
      </c>
      <c r="S97" s="77">
        <f>((N97-G97)/G97)</f>
        <v>-9.3840471198962504E-3</v>
      </c>
      <c r="T97" s="77">
        <f>((O97-H97)/H97)</f>
        <v>6.993006993006993E-3</v>
      </c>
      <c r="U97" s="78">
        <f>P97-I97</f>
        <v>-2.9470000000000004E-3</v>
      </c>
      <c r="V97" s="80">
        <f>Q97-J97</f>
        <v>-6.3479999999999995E-3</v>
      </c>
    </row>
    <row r="98" spans="1:28">
      <c r="A98" s="146">
        <v>87</v>
      </c>
      <c r="B98" s="138" t="s">
        <v>127</v>
      </c>
      <c r="C98" s="139" t="s">
        <v>91</v>
      </c>
      <c r="D98" s="2">
        <v>2584304705.2199998</v>
      </c>
      <c r="E98" s="3">
        <f t="shared" si="21"/>
        <v>1.1020044755953392E-2</v>
      </c>
      <c r="F98" s="14">
        <v>26.767299999999999</v>
      </c>
      <c r="G98" s="14">
        <v>26.767299999999999</v>
      </c>
      <c r="H98" s="58">
        <v>1314</v>
      </c>
      <c r="I98" s="5">
        <v>0</v>
      </c>
      <c r="J98" s="5">
        <v>0.1197</v>
      </c>
      <c r="K98" s="2">
        <v>2592458206.54</v>
      </c>
      <c r="L98" s="3">
        <f t="shared" si="22"/>
        <v>1.1192285815656997E-2</v>
      </c>
      <c r="M98" s="14">
        <v>26.804400000000001</v>
      </c>
      <c r="N98" s="14">
        <v>26.804400000000001</v>
      </c>
      <c r="O98" s="58">
        <v>1314</v>
      </c>
      <c r="P98" s="5">
        <v>0</v>
      </c>
      <c r="Q98" s="5">
        <v>0.12820000000000001</v>
      </c>
      <c r="R98" s="77">
        <f t="shared" si="15"/>
        <v>3.1550077293637365E-3</v>
      </c>
      <c r="S98" s="77">
        <f t="shared" si="16"/>
        <v>1.3860195088784583E-3</v>
      </c>
      <c r="T98" s="77">
        <f t="shared" si="17"/>
        <v>0</v>
      </c>
      <c r="U98" s="78">
        <f t="shared" si="18"/>
        <v>0</v>
      </c>
      <c r="V98" s="80">
        <f t="shared" si="19"/>
        <v>8.5000000000000075E-3</v>
      </c>
    </row>
    <row r="99" spans="1:28">
      <c r="A99" s="72"/>
      <c r="B99" s="136"/>
      <c r="C99" s="69" t="s">
        <v>46</v>
      </c>
      <c r="D99" s="57">
        <f>SUM(D64:D98)</f>
        <v>234509456399.79123</v>
      </c>
      <c r="E99" s="97">
        <f>(D99/$D$198)</f>
        <v>7.5717535514050999E-2</v>
      </c>
      <c r="F99" s="30"/>
      <c r="G99" s="11"/>
      <c r="H99" s="63">
        <f>SUM(H64:H98)</f>
        <v>50110</v>
      </c>
      <c r="I99" s="12"/>
      <c r="J99" s="12"/>
      <c r="K99" s="57">
        <f>SUM(K64:K98)</f>
        <v>231629021027.44598</v>
      </c>
      <c r="L99" s="97">
        <f>(K99/$K$198)</f>
        <v>7.3257651719167691E-2</v>
      </c>
      <c r="M99" s="30"/>
      <c r="N99" s="11"/>
      <c r="O99" s="63">
        <f>SUM(O64:O98)</f>
        <v>50145</v>
      </c>
      <c r="P99" s="12"/>
      <c r="Q99" s="12"/>
      <c r="R99" s="77">
        <f t="shared" si="15"/>
        <v>-1.2282811177706562E-2</v>
      </c>
      <c r="S99" s="77" t="e">
        <f t="shared" si="16"/>
        <v>#DIV/0!</v>
      </c>
      <c r="T99" s="77">
        <f t="shared" si="17"/>
        <v>6.9846338056276194E-4</v>
      </c>
      <c r="U99" s="78">
        <f t="shared" si="18"/>
        <v>0</v>
      </c>
      <c r="V99" s="80">
        <f t="shared" si="19"/>
        <v>0</v>
      </c>
    </row>
    <row r="100" spans="1:28" ht="8.25" customHeight="1">
      <c r="A100" s="160"/>
      <c r="B100" s="160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</row>
    <row r="101" spans="1:28" ht="15" customHeight="1">
      <c r="A101" s="158" t="s">
        <v>128</v>
      </c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</row>
    <row r="102" spans="1:28">
      <c r="A102" s="159" t="s">
        <v>228</v>
      </c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Z102" s="111"/>
      <c r="AB102" s="100"/>
    </row>
    <row r="103" spans="1:28" ht="16.5" customHeight="1">
      <c r="A103" s="146">
        <v>88</v>
      </c>
      <c r="B103" s="138" t="s">
        <v>129</v>
      </c>
      <c r="C103" s="139" t="s">
        <v>17</v>
      </c>
      <c r="D103" s="2">
        <v>2818872201.1199999</v>
      </c>
      <c r="E103" s="3">
        <f>(D103/$D$133)</f>
        <v>1.8939510799565425E-3</v>
      </c>
      <c r="F103" s="2">
        <f>111.1032*1566.618</f>
        <v>174056.27297759999</v>
      </c>
      <c r="G103" s="2">
        <f>111.1032*1566.618</f>
        <v>174056.27297759999</v>
      </c>
      <c r="H103" s="58">
        <v>241</v>
      </c>
      <c r="I103" s="5">
        <v>1.1000000000000001E-3</v>
      </c>
      <c r="J103" s="5">
        <v>3.0599999999999999E-2</v>
      </c>
      <c r="K103" s="2">
        <v>2843421693.5</v>
      </c>
      <c r="L103" s="3">
        <f t="shared" ref="L103:L117" si="23">(K103/$K$133)</f>
        <v>1.854651747920088E-3</v>
      </c>
      <c r="M103" s="2">
        <f>111.2208*1585</f>
        <v>176284.96799999999</v>
      </c>
      <c r="N103" s="2">
        <f>111.2208*1585</f>
        <v>176284.96799999999</v>
      </c>
      <c r="O103" s="58">
        <v>241</v>
      </c>
      <c r="P103" s="5">
        <v>1.1000000000000001E-3</v>
      </c>
      <c r="Q103" s="5">
        <v>3.1699999999999999E-2</v>
      </c>
      <c r="R103" s="78">
        <f>((K103-D103)/D103)</f>
        <v>8.7089767213448209E-3</v>
      </c>
      <c r="S103" s="78">
        <f>((N103-G103)/G103)</f>
        <v>1.2804451021922219E-2</v>
      </c>
      <c r="T103" s="78">
        <f>((O103-H103)/H103)</f>
        <v>0</v>
      </c>
      <c r="U103" s="78">
        <f>P103-I103</f>
        <v>0</v>
      </c>
      <c r="V103" s="80">
        <f>Q103-J103</f>
        <v>1.1000000000000003E-3</v>
      </c>
      <c r="X103" s="111"/>
      <c r="Y103" s="113"/>
      <c r="Z103" s="111"/>
      <c r="AA103" s="101"/>
    </row>
    <row r="104" spans="1:28" ht="16.5" customHeight="1">
      <c r="A104" s="140">
        <v>89</v>
      </c>
      <c r="B104" s="138" t="s">
        <v>266</v>
      </c>
      <c r="C104" s="139" t="s">
        <v>50</v>
      </c>
      <c r="D104" s="2">
        <f>954965.69*1566.618</f>
        <v>1496066439.3364198</v>
      </c>
      <c r="E104" s="3">
        <f>(D104/$D$133)</f>
        <v>1.0051809540503997E-3</v>
      </c>
      <c r="F104" s="2">
        <f>100*1566.618</f>
        <v>156661.79999999999</v>
      </c>
      <c r="G104" s="2">
        <f>100*1566.618</f>
        <v>156661.79999999999</v>
      </c>
      <c r="H104" s="58">
        <v>14</v>
      </c>
      <c r="I104" s="5">
        <v>1.451E-3</v>
      </c>
      <c r="J104" s="5">
        <v>6.8321999999999994E-2</v>
      </c>
      <c r="K104" s="2">
        <f>978159.02*1585</f>
        <v>1550382046.7</v>
      </c>
      <c r="L104" s="3">
        <f t="shared" si="23"/>
        <v>1.0112530193566516E-3</v>
      </c>
      <c r="M104" s="2">
        <f>100*1585</f>
        <v>158500</v>
      </c>
      <c r="N104" s="2">
        <f>100*1585</f>
        <v>158500</v>
      </c>
      <c r="O104" s="58">
        <v>14</v>
      </c>
      <c r="P104" s="5">
        <v>-1.8389999999999999E-3</v>
      </c>
      <c r="Q104" s="5">
        <v>6.6483E-2</v>
      </c>
      <c r="R104" s="78">
        <f>((K104-D104)/D104)</f>
        <v>3.6305611793331791E-2</v>
      </c>
      <c r="S104" s="78">
        <f>((N104-G104)/G104)</f>
        <v>1.1733555978547494E-2</v>
      </c>
      <c r="T104" s="78">
        <f>((O104-H104)/H104)</f>
        <v>0</v>
      </c>
      <c r="U104" s="78">
        <f>P104-I104</f>
        <v>-3.29E-3</v>
      </c>
      <c r="V104" s="80">
        <f>Q104-J104</f>
        <v>-1.8389999999999934E-3</v>
      </c>
      <c r="X104" s="111"/>
      <c r="Y104" s="113"/>
      <c r="Z104" s="111"/>
      <c r="AA104" s="101"/>
    </row>
    <row r="105" spans="1:28">
      <c r="A105" s="149">
        <v>90</v>
      </c>
      <c r="B105" s="138" t="s">
        <v>130</v>
      </c>
      <c r="C105" s="139" t="s">
        <v>21</v>
      </c>
      <c r="D105" s="2">
        <f>10904129.89*1566.118</f>
        <v>17077154095.06702</v>
      </c>
      <c r="E105" s="3">
        <f>(D105/$D$133)</f>
        <v>1.1473842066371712E-2</v>
      </c>
      <c r="F105" s="2">
        <f>1.1325*1566.118</f>
        <v>1773.628635</v>
      </c>
      <c r="G105" s="2">
        <f>1.1325*1566.118</f>
        <v>1773.628635</v>
      </c>
      <c r="H105" s="58">
        <v>305</v>
      </c>
      <c r="I105" s="5">
        <v>5.0799999999999998E-2</v>
      </c>
      <c r="J105" s="5">
        <v>-6.9599999999999995E-2</v>
      </c>
      <c r="K105" s="2">
        <f>11017416.34*1585</f>
        <v>17462604898.900002</v>
      </c>
      <c r="L105" s="3">
        <f t="shared" si="23"/>
        <v>1.1390167970167377E-2</v>
      </c>
      <c r="M105" s="2">
        <f>1.1337*1585</f>
        <v>1796.9144999999999</v>
      </c>
      <c r="N105" s="2">
        <f>1.1337*1585</f>
        <v>1796.9144999999999</v>
      </c>
      <c r="O105" s="58">
        <v>310</v>
      </c>
      <c r="P105" s="5">
        <v>5.5399999999999998E-2</v>
      </c>
      <c r="Q105" s="5">
        <v>-6.5299999999999997E-2</v>
      </c>
      <c r="R105" s="78">
        <f t="shared" ref="R105:R117" si="24">((K105-D105)/D105)</f>
        <v>2.2571138123320213E-2</v>
      </c>
      <c r="S105" s="78">
        <f t="shared" ref="S105:S117" si="25">((N105-G105)/G105)</f>
        <v>1.3128940602608071E-2</v>
      </c>
      <c r="T105" s="78">
        <f t="shared" ref="T105:T117" si="26">((O105-H105)/H105)</f>
        <v>1.6393442622950821E-2</v>
      </c>
      <c r="U105" s="78">
        <f t="shared" ref="U105:U117" si="27">P105-I105</f>
        <v>4.5999999999999999E-3</v>
      </c>
      <c r="V105" s="80">
        <f t="shared" ref="V105:V117" si="28">Q105-J105</f>
        <v>4.2999999999999983E-3</v>
      </c>
    </row>
    <row r="106" spans="1:28">
      <c r="A106" s="81">
        <v>91</v>
      </c>
      <c r="B106" s="152" t="s">
        <v>265</v>
      </c>
      <c r="C106" s="153" t="s">
        <v>99</v>
      </c>
      <c r="D106" s="2">
        <f>1752689.07*1566.618</f>
        <v>2745794245.46526</v>
      </c>
      <c r="E106" s="3">
        <f>(D106/$D$133)</f>
        <v>1.8448512757943251E-3</v>
      </c>
      <c r="F106" s="2">
        <f>1.029*1566.618</f>
        <v>1612.0499219999997</v>
      </c>
      <c r="G106" s="2">
        <f>1.029*1566.618</f>
        <v>1612.0499219999997</v>
      </c>
      <c r="H106" s="58">
        <v>217</v>
      </c>
      <c r="I106" s="5">
        <v>1.4E-3</v>
      </c>
      <c r="J106" s="5">
        <v>2.9000000000000001E-2</v>
      </c>
      <c r="K106" s="2">
        <f>1761245.38*1585</f>
        <v>2791573927.2999997</v>
      </c>
      <c r="L106" s="3">
        <f t="shared" si="23"/>
        <v>1.8208334963296182E-3</v>
      </c>
      <c r="M106" s="2">
        <f>1.0305*1585</f>
        <v>1633.3425</v>
      </c>
      <c r="N106" s="2">
        <f>1.0305*1585</f>
        <v>1633.3425</v>
      </c>
      <c r="O106" s="58">
        <v>218</v>
      </c>
      <c r="P106" s="5">
        <v>1.5E-3</v>
      </c>
      <c r="Q106" s="5">
        <v>3.0499999999999999E-2</v>
      </c>
      <c r="R106" s="78">
        <f>((K106-D106)/D106)</f>
        <v>1.6672655611521453E-2</v>
      </c>
      <c r="S106" s="78">
        <f t="shared" ref="S106:T109" si="29">((N106-G106)/G106)</f>
        <v>1.3208386235076088E-2</v>
      </c>
      <c r="T106" s="78">
        <f t="shared" si="29"/>
        <v>4.608294930875576E-3</v>
      </c>
      <c r="U106" s="78">
        <f>P106-I106</f>
        <v>1.0000000000000005E-4</v>
      </c>
      <c r="V106" s="80">
        <f>Q106-J106</f>
        <v>1.4999999999999979E-3</v>
      </c>
    </row>
    <row r="107" spans="1:28">
      <c r="A107" s="81">
        <v>92</v>
      </c>
      <c r="B107" s="152" t="s">
        <v>270</v>
      </c>
      <c r="C107" s="153" t="s">
        <v>267</v>
      </c>
      <c r="D107" s="2">
        <f>389224.91*1566.618</f>
        <v>609766750.05437994</v>
      </c>
      <c r="E107" s="3">
        <f>(D107/$D$133)</f>
        <v>4.0969164700983227E-4</v>
      </c>
      <c r="F107" s="2">
        <f>1.06*1566.618</f>
        <v>1660.61508</v>
      </c>
      <c r="G107" s="2">
        <f>1.07*1566.618</f>
        <v>1676.28126</v>
      </c>
      <c r="H107" s="58">
        <v>14</v>
      </c>
      <c r="I107" s="5">
        <v>0.39789999999999998</v>
      </c>
      <c r="J107" s="5">
        <v>6.9900000000000004E-2</v>
      </c>
      <c r="K107" s="2">
        <f>383970.81*1585</f>
        <v>608593733.85000002</v>
      </c>
      <c r="L107" s="3">
        <f t="shared" si="23"/>
        <v>3.9696167291624956E-4</v>
      </c>
      <c r="M107" s="2">
        <f>1.06*1585</f>
        <v>1680.1000000000001</v>
      </c>
      <c r="N107" s="2">
        <f>1.07*1585</f>
        <v>1695.95</v>
      </c>
      <c r="O107" s="58">
        <v>15</v>
      </c>
      <c r="P107" s="5">
        <v>1.47E-2</v>
      </c>
      <c r="Q107" s="5">
        <v>6.83E-2</v>
      </c>
      <c r="R107" s="78">
        <f>((K107-D107)/D107)</f>
        <v>-1.9237129677459534E-3</v>
      </c>
      <c r="S107" s="78">
        <f t="shared" si="29"/>
        <v>1.1733555978547461E-2</v>
      </c>
      <c r="T107" s="78">
        <f t="shared" si="29"/>
        <v>7.1428571428571425E-2</v>
      </c>
      <c r="U107" s="78">
        <f>P107-I107</f>
        <v>-0.38319999999999999</v>
      </c>
      <c r="V107" s="80">
        <f>Q107-J107</f>
        <v>-1.6000000000000042E-3</v>
      </c>
    </row>
    <row r="108" spans="1:28">
      <c r="A108" s="144">
        <v>93</v>
      </c>
      <c r="B108" s="138" t="s">
        <v>241</v>
      </c>
      <c r="C108" s="139" t="s">
        <v>25</v>
      </c>
      <c r="D108" s="2">
        <f>489186.84*1566.618</f>
        <v>766368908.90711999</v>
      </c>
      <c r="E108" s="3">
        <v>0</v>
      </c>
      <c r="F108" s="2">
        <f>1.1518*1566.618</f>
        <v>1804.4306123999997</v>
      </c>
      <c r="G108" s="2">
        <f>1.1518*1566.618</f>
        <v>1804.4306123999997</v>
      </c>
      <c r="H108" s="58">
        <v>33</v>
      </c>
      <c r="I108" s="5">
        <v>2.61E-4</v>
      </c>
      <c r="J108" s="5">
        <v>0.1183</v>
      </c>
      <c r="K108" s="2">
        <f>489907*1585</f>
        <v>776502595</v>
      </c>
      <c r="L108" s="3">
        <f t="shared" si="23"/>
        <v>5.0648199610116469E-4</v>
      </c>
      <c r="M108" s="2">
        <f>1.1535*1585</f>
        <v>1828.2974999999999</v>
      </c>
      <c r="N108" s="2">
        <f>1.1535*1585</f>
        <v>1828.2974999999999</v>
      </c>
      <c r="O108" s="58">
        <v>33</v>
      </c>
      <c r="P108" s="5">
        <v>2.5900000000000001E-4</v>
      </c>
      <c r="Q108" s="5">
        <v>0.1198</v>
      </c>
      <c r="R108" s="78">
        <f>((K108-D108)/D108)</f>
        <v>1.3222986965025954E-2</v>
      </c>
      <c r="S108" s="78">
        <f t="shared" si="29"/>
        <v>1.3226824814424856E-2</v>
      </c>
      <c r="T108" s="78">
        <f t="shared" si="29"/>
        <v>0</v>
      </c>
      <c r="U108" s="78">
        <f>P108-I108</f>
        <v>-1.9999999999999944E-6</v>
      </c>
      <c r="V108" s="80">
        <f t="shared" si="28"/>
        <v>1.5000000000000013E-3</v>
      </c>
    </row>
    <row r="109" spans="1:28">
      <c r="A109" s="81">
        <v>94</v>
      </c>
      <c r="B109" s="152" t="s">
        <v>138</v>
      </c>
      <c r="C109" s="153" t="s">
        <v>64</v>
      </c>
      <c r="D109" s="2">
        <f>425452.68*1566.618</f>
        <v>666521826.63624001</v>
      </c>
      <c r="E109" s="3">
        <f t="shared" ref="E109:E117" si="30">(D109/$D$133)</f>
        <v>4.4782439334097902E-4</v>
      </c>
      <c r="F109" s="2">
        <f>102.89*1566.618</f>
        <v>161189.32602000001</v>
      </c>
      <c r="G109" s="2">
        <f>103.01*1566.618</f>
        <v>161377.32018000001</v>
      </c>
      <c r="H109" s="58">
        <v>43</v>
      </c>
      <c r="I109" s="5">
        <v>0</v>
      </c>
      <c r="J109" s="5">
        <v>3.8100000000000002E-2</v>
      </c>
      <c r="K109" s="2">
        <f>410183.61*1585</f>
        <v>650141021.85000002</v>
      </c>
      <c r="L109" s="3">
        <f t="shared" si="23"/>
        <v>4.2406132911099794E-4</v>
      </c>
      <c r="M109" s="2">
        <f>102.96*1585</f>
        <v>163191.59999999998</v>
      </c>
      <c r="N109" s="2">
        <f>103.13*1585</f>
        <v>163461.04999999999</v>
      </c>
      <c r="O109" s="58">
        <v>43</v>
      </c>
      <c r="P109" s="5">
        <v>2.5999999999999999E-3</v>
      </c>
      <c r="Q109" s="5">
        <v>4.07E-2</v>
      </c>
      <c r="R109" s="78">
        <f>((K109-D109)/D109)</f>
        <v>-2.4576546681013563E-2</v>
      </c>
      <c r="S109" s="78">
        <f t="shared" si="29"/>
        <v>1.2912160256941866E-2</v>
      </c>
      <c r="T109" s="78">
        <f t="shared" si="29"/>
        <v>0</v>
      </c>
      <c r="U109" s="78">
        <f>P109-I109</f>
        <v>2.5999999999999999E-3</v>
      </c>
      <c r="V109" s="80">
        <f>Q109-J109</f>
        <v>2.5999999999999981E-3</v>
      </c>
    </row>
    <row r="110" spans="1:28">
      <c r="A110" s="151">
        <v>95</v>
      </c>
      <c r="B110" s="138" t="s">
        <v>131</v>
      </c>
      <c r="C110" s="139" t="s">
        <v>67</v>
      </c>
      <c r="D110" s="2">
        <v>4610644849.2639599</v>
      </c>
      <c r="E110" s="3">
        <f t="shared" si="30"/>
        <v>3.0978118795488485E-3</v>
      </c>
      <c r="F110" s="2">
        <v>168461.41011419997</v>
      </c>
      <c r="G110" s="2">
        <v>162521.78042</v>
      </c>
      <c r="H110" s="58">
        <v>57</v>
      </c>
      <c r="I110" s="5">
        <v>1.1736325689813351E-3</v>
      </c>
      <c r="J110" s="5">
        <v>0.12195852351416936</v>
      </c>
      <c r="K110" s="2">
        <v>4779709167.3000002</v>
      </c>
      <c r="L110" s="3">
        <f t="shared" si="23"/>
        <v>3.1176156466510454E-3</v>
      </c>
      <c r="M110" s="2">
        <v>170663.13150000002</v>
      </c>
      <c r="N110" s="2">
        <v>170663.13150000002</v>
      </c>
      <c r="O110" s="58">
        <v>57</v>
      </c>
      <c r="P110" s="5">
        <v>1.2814508189103347E-3</v>
      </c>
      <c r="Q110" s="5">
        <v>0.12739750582743148</v>
      </c>
      <c r="R110" s="78">
        <f t="shared" si="24"/>
        <v>3.6668258684689106E-2</v>
      </c>
      <c r="S110" s="78">
        <f t="shared" si="25"/>
        <v>5.0093907776302848E-2</v>
      </c>
      <c r="T110" s="78">
        <f t="shared" si="26"/>
        <v>0</v>
      </c>
      <c r="U110" s="78">
        <f t="shared" si="27"/>
        <v>1.0781824992899956E-4</v>
      </c>
      <c r="V110" s="80">
        <f t="shared" si="28"/>
        <v>5.4389823132621196E-3</v>
      </c>
      <c r="X110" s="105"/>
    </row>
    <row r="111" spans="1:28">
      <c r="A111" s="146">
        <v>96</v>
      </c>
      <c r="B111" s="138" t="s">
        <v>132</v>
      </c>
      <c r="C111" s="139" t="s">
        <v>27</v>
      </c>
      <c r="D111" s="2">
        <v>44605251842.040001</v>
      </c>
      <c r="E111" s="3">
        <f t="shared" si="30"/>
        <v>2.9969490941944579E-2</v>
      </c>
      <c r="F111" s="2">
        <v>201714.56</v>
      </c>
      <c r="G111" s="2">
        <v>201714.56</v>
      </c>
      <c r="H111" s="58">
        <v>2137</v>
      </c>
      <c r="I111" s="5">
        <v>1.6999999999999999E-3</v>
      </c>
      <c r="J111" s="5">
        <v>4.0899999999999999E-2</v>
      </c>
      <c r="K111" s="2">
        <v>45549954451.720001</v>
      </c>
      <c r="L111" s="3">
        <f t="shared" si="23"/>
        <v>2.9710437545961171E-2</v>
      </c>
      <c r="M111" s="2">
        <v>206290.13</v>
      </c>
      <c r="N111" s="2">
        <v>206290.13</v>
      </c>
      <c r="O111" s="58">
        <v>2143</v>
      </c>
      <c r="P111" s="5">
        <v>1.5E-3</v>
      </c>
      <c r="Q111" s="5">
        <v>4.24E-2</v>
      </c>
      <c r="R111" s="78">
        <f t="shared" si="24"/>
        <v>2.1179178923268125E-2</v>
      </c>
      <c r="S111" s="78">
        <f t="shared" si="25"/>
        <v>2.2683389835617254E-2</v>
      </c>
      <c r="T111" s="78">
        <f t="shared" si="26"/>
        <v>2.8076743097800653E-3</v>
      </c>
      <c r="U111" s="78">
        <f t="shared" si="27"/>
        <v>-1.9999999999999987E-4</v>
      </c>
      <c r="V111" s="80">
        <f t="shared" si="28"/>
        <v>1.5000000000000013E-3</v>
      </c>
    </row>
    <row r="112" spans="1:28">
      <c r="A112" s="146">
        <v>97</v>
      </c>
      <c r="B112" s="148" t="s">
        <v>133</v>
      </c>
      <c r="C112" s="148" t="s">
        <v>27</v>
      </c>
      <c r="D112" s="2">
        <v>82349690680.789993</v>
      </c>
      <c r="E112" s="3">
        <f t="shared" si="30"/>
        <v>5.5329321257274661E-2</v>
      </c>
      <c r="F112" s="2">
        <v>183777.78</v>
      </c>
      <c r="G112" s="2">
        <v>183777.78</v>
      </c>
      <c r="H112" s="58">
        <v>438</v>
      </c>
      <c r="I112" s="5">
        <v>1.6999999999999999E-3</v>
      </c>
      <c r="J112" s="5">
        <v>5.04E-2</v>
      </c>
      <c r="K112" s="2">
        <v>84669166538.610001</v>
      </c>
      <c r="L112" s="3">
        <f t="shared" si="23"/>
        <v>5.5226355652677681E-2</v>
      </c>
      <c r="M112" s="2">
        <v>187989.42</v>
      </c>
      <c r="N112" s="2">
        <v>187989.42</v>
      </c>
      <c r="O112" s="58">
        <v>446</v>
      </c>
      <c r="P112" s="5">
        <v>1.6999999999999999E-3</v>
      </c>
      <c r="Q112" s="5">
        <v>5.2200000000000003E-2</v>
      </c>
      <c r="R112" s="78">
        <f t="shared" si="24"/>
        <v>2.8166175715351894E-2</v>
      </c>
      <c r="S112" s="78">
        <f t="shared" si="25"/>
        <v>2.2917025115876434E-2</v>
      </c>
      <c r="T112" s="78">
        <f t="shared" si="26"/>
        <v>1.8264840182648401E-2</v>
      </c>
      <c r="U112" s="78">
        <f t="shared" si="27"/>
        <v>0</v>
      </c>
      <c r="V112" s="80">
        <f t="shared" si="28"/>
        <v>1.800000000000003E-3</v>
      </c>
    </row>
    <row r="113" spans="1:24">
      <c r="A113" s="146">
        <v>98</v>
      </c>
      <c r="B113" s="138" t="s">
        <v>134</v>
      </c>
      <c r="C113" s="139" t="s">
        <v>31</v>
      </c>
      <c r="D113" s="2">
        <f>97504.82*1566.618</f>
        <v>152752806.09876001</v>
      </c>
      <c r="E113" s="3">
        <f t="shared" si="30"/>
        <v>1.0263194690493279E-4</v>
      </c>
      <c r="F113" s="2">
        <f>112.8*1566.618</f>
        <v>176714.5104</v>
      </c>
      <c r="G113" s="2">
        <f>112.8*1566.618</f>
        <v>176714.5104</v>
      </c>
      <c r="H113" s="58">
        <v>4</v>
      </c>
      <c r="I113" s="5">
        <v>3.2000000000000002E-3</v>
      </c>
      <c r="J113" s="5">
        <v>-1.5699999999999999E-2</v>
      </c>
      <c r="K113" s="2">
        <f>97628.1816*1585</f>
        <v>154740667.836</v>
      </c>
      <c r="L113" s="3">
        <f t="shared" si="23"/>
        <v>1.009312304018824E-4</v>
      </c>
      <c r="M113" s="2">
        <f>112.9443*1585</f>
        <v>179016.71549999999</v>
      </c>
      <c r="N113" s="2">
        <f>112.9443*1585</f>
        <v>179016.71549999999</v>
      </c>
      <c r="O113" s="58">
        <v>4</v>
      </c>
      <c r="P113" s="5">
        <v>1.2999999999999999E-3</v>
      </c>
      <c r="Q113" s="5">
        <v>-1.44E-2</v>
      </c>
      <c r="R113" s="78">
        <f t="shared" si="24"/>
        <v>1.3013585727222351E-2</v>
      </c>
      <c r="S113" s="78">
        <f t="shared" si="25"/>
        <v>1.3027821511594397E-2</v>
      </c>
      <c r="T113" s="78">
        <f t="shared" si="26"/>
        <v>0</v>
      </c>
      <c r="U113" s="78">
        <f t="shared" si="27"/>
        <v>-1.9000000000000002E-3</v>
      </c>
      <c r="V113" s="80">
        <f t="shared" si="28"/>
        <v>1.2999999999999991E-3</v>
      </c>
    </row>
    <row r="114" spans="1:24">
      <c r="A114" s="144">
        <v>99</v>
      </c>
      <c r="B114" s="138" t="s">
        <v>135</v>
      </c>
      <c r="C114" s="139" t="s">
        <v>34</v>
      </c>
      <c r="D114" s="2">
        <f>10259019.59*1566.618</f>
        <v>16071964752.046619</v>
      </c>
      <c r="E114" s="3">
        <f t="shared" si="30"/>
        <v>1.0798472874033767E-2</v>
      </c>
      <c r="F114" s="2">
        <f>1.36*1566.618</f>
        <v>2130.6004800000001</v>
      </c>
      <c r="G114" s="2">
        <f>1.36*1566.618</f>
        <v>2130.6004800000001</v>
      </c>
      <c r="H114" s="59">
        <v>112</v>
      </c>
      <c r="I114" s="12">
        <v>5.9999999999999995E-4</v>
      </c>
      <c r="J114" s="12">
        <v>4.6800000000000001E-2</v>
      </c>
      <c r="K114" s="2">
        <f>10291185.63*1585</f>
        <v>16311529223.550001</v>
      </c>
      <c r="L114" s="3">
        <f t="shared" si="23"/>
        <v>1.0639366737217519E-2</v>
      </c>
      <c r="M114" s="2">
        <f>1.36*1585</f>
        <v>2155.6000000000004</v>
      </c>
      <c r="N114" s="2">
        <f>1.36*1585</f>
        <v>2155.6000000000004</v>
      </c>
      <c r="O114" s="59">
        <v>113</v>
      </c>
      <c r="P114" s="12">
        <v>1.6000000000000001E-3</v>
      </c>
      <c r="Q114" s="12">
        <v>4.7E-2</v>
      </c>
      <c r="R114" s="78">
        <f t="shared" si="24"/>
        <v>1.4905736492041233E-2</v>
      </c>
      <c r="S114" s="78">
        <f t="shared" si="25"/>
        <v>1.173355597854756E-2</v>
      </c>
      <c r="T114" s="78">
        <f t="shared" si="26"/>
        <v>8.9285714285714281E-3</v>
      </c>
      <c r="U114" s="78">
        <f t="shared" si="27"/>
        <v>1E-3</v>
      </c>
      <c r="V114" s="80">
        <f t="shared" si="28"/>
        <v>1.9999999999999879E-4</v>
      </c>
    </row>
    <row r="115" spans="1:24">
      <c r="A115" s="81">
        <v>100</v>
      </c>
      <c r="B115" s="152" t="s">
        <v>277</v>
      </c>
      <c r="C115" s="153" t="s">
        <v>45</v>
      </c>
      <c r="D115" s="4">
        <v>232302805653.03</v>
      </c>
      <c r="E115" s="3">
        <f t="shared" si="30"/>
        <v>0.156080204511819</v>
      </c>
      <c r="F115" s="2">
        <v>189436.39</v>
      </c>
      <c r="G115" s="2">
        <v>189436.39</v>
      </c>
      <c r="H115" s="58">
        <v>3196</v>
      </c>
      <c r="I115" s="5">
        <v>5.5800000000000002E-2</v>
      </c>
      <c r="J115" s="5">
        <v>5.3499999999999999E-2</v>
      </c>
      <c r="K115" s="4">
        <v>238373883646.07999</v>
      </c>
      <c r="L115" s="3">
        <f t="shared" si="23"/>
        <v>0.15548187628072688</v>
      </c>
      <c r="M115" s="2">
        <v>193649.70533999999</v>
      </c>
      <c r="N115" s="2">
        <v>193649.70533999999</v>
      </c>
      <c r="O115" s="58">
        <v>3196</v>
      </c>
      <c r="P115" s="5">
        <v>5.57E-2</v>
      </c>
      <c r="Q115" s="5">
        <v>5.3499999999999999E-2</v>
      </c>
      <c r="R115" s="78">
        <f t="shared" ref="R115" si="31">((K115-D115)/D115)</f>
        <v>2.6134329182910584E-2</v>
      </c>
      <c r="S115" s="78">
        <f t="shared" ref="S115" si="32">((N115-G115)/G115)</f>
        <v>2.224131984356317E-2</v>
      </c>
      <c r="T115" s="78">
        <f t="shared" ref="T115" si="33">((O115-H115)/H115)</f>
        <v>0</v>
      </c>
      <c r="U115" s="78">
        <f t="shared" ref="U115" si="34">P115-I115</f>
        <v>-1.0000000000000286E-4</v>
      </c>
      <c r="V115" s="80">
        <f t="shared" ref="V115" si="35">Q115-J115</f>
        <v>0</v>
      </c>
    </row>
    <row r="116" spans="1:24">
      <c r="A116" s="144">
        <v>101</v>
      </c>
      <c r="B116" s="138" t="s">
        <v>136</v>
      </c>
      <c r="C116" s="139" t="s">
        <v>78</v>
      </c>
      <c r="D116" s="2">
        <f>11848137.21*1566.618</f>
        <v>18561505019.655781</v>
      </c>
      <c r="E116" s="3">
        <f t="shared" si="30"/>
        <v>1.2471151570343687E-2</v>
      </c>
      <c r="F116" s="2">
        <f>103.17*1566.618</f>
        <v>161627.97905999998</v>
      </c>
      <c r="G116" s="2">
        <f>103.17*1566.618</f>
        <v>161627.97905999998</v>
      </c>
      <c r="H116" s="58">
        <v>358</v>
      </c>
      <c r="I116" s="5">
        <v>1.8E-3</v>
      </c>
      <c r="J116" s="5">
        <v>5.4699999999999999E-2</v>
      </c>
      <c r="K116" s="2">
        <f>11967205.83*1585</f>
        <v>18968021240.549999</v>
      </c>
      <c r="L116" s="3">
        <f t="shared" si="23"/>
        <v>1.2372091634803944E-2</v>
      </c>
      <c r="M116" s="2">
        <f>103.36*1585</f>
        <v>163825.60000000001</v>
      </c>
      <c r="N116" s="2">
        <f>103.36*1585</f>
        <v>163825.60000000001</v>
      </c>
      <c r="O116" s="58">
        <v>363</v>
      </c>
      <c r="P116" s="5">
        <v>1.8E-3</v>
      </c>
      <c r="Q116" s="5">
        <v>5.6500000000000002E-2</v>
      </c>
      <c r="R116" s="78">
        <f t="shared" si="24"/>
        <v>2.1901037683298659E-2</v>
      </c>
      <c r="S116" s="78">
        <f t="shared" si="25"/>
        <v>1.3596785363406763E-2</v>
      </c>
      <c r="T116" s="78">
        <f t="shared" si="26"/>
        <v>1.3966480446927373E-2</v>
      </c>
      <c r="U116" s="78">
        <f t="shared" si="27"/>
        <v>0</v>
      </c>
      <c r="V116" s="80">
        <f t="shared" si="28"/>
        <v>1.800000000000003E-3</v>
      </c>
    </row>
    <row r="117" spans="1:24">
      <c r="A117" s="146">
        <v>102</v>
      </c>
      <c r="B117" s="138" t="s">
        <v>137</v>
      </c>
      <c r="C117" s="139" t="s">
        <v>38</v>
      </c>
      <c r="D117" s="2">
        <f>1919359.15*1566.618</f>
        <v>3006902592.8546996</v>
      </c>
      <c r="E117" s="3">
        <f t="shared" si="30"/>
        <v>2.0202854215237449E-3</v>
      </c>
      <c r="F117" s="2">
        <f>135.629953*1566.618</f>
        <v>212480.32570895398</v>
      </c>
      <c r="G117" s="2">
        <f>139.296283*1566.618</f>
        <v>218224.06428089397</v>
      </c>
      <c r="H117" s="58">
        <v>49</v>
      </c>
      <c r="I117" s="5">
        <v>6.9999999999999999E-4</v>
      </c>
      <c r="J117" s="5">
        <v>2.9499999999999998E-2</v>
      </c>
      <c r="K117" s="2">
        <f>2027673.62*1585</f>
        <v>3213862687.7000003</v>
      </c>
      <c r="L117" s="3">
        <f t="shared" si="23"/>
        <v>2.0962757880562529E-3</v>
      </c>
      <c r="M117" s="2">
        <f>142.36*1585</f>
        <v>225640.60000000003</v>
      </c>
      <c r="N117" s="2">
        <f>146.04*1585</f>
        <v>231473.4</v>
      </c>
      <c r="O117" s="58">
        <v>49</v>
      </c>
      <c r="P117" s="5">
        <v>5.6000000000000001E-2</v>
      </c>
      <c r="Q117" s="5">
        <v>7.9899999999999999E-2</v>
      </c>
      <c r="R117" s="78">
        <f t="shared" si="24"/>
        <v>6.8828333627135044E-2</v>
      </c>
      <c r="S117" s="78">
        <f t="shared" si="25"/>
        <v>6.0714366047420511E-2</v>
      </c>
      <c r="T117" s="78">
        <f t="shared" si="26"/>
        <v>0</v>
      </c>
      <c r="U117" s="78">
        <f t="shared" si="27"/>
        <v>5.5300000000000002E-2</v>
      </c>
      <c r="V117" s="80">
        <f t="shared" si="28"/>
        <v>5.04E-2</v>
      </c>
    </row>
    <row r="118" spans="1:24" ht="6" customHeight="1">
      <c r="A118" s="160"/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</row>
    <row r="119" spans="1:24">
      <c r="A119" s="159" t="s">
        <v>229</v>
      </c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</row>
    <row r="120" spans="1:24">
      <c r="A120" s="81">
        <v>103</v>
      </c>
      <c r="B120" s="152" t="s">
        <v>139</v>
      </c>
      <c r="C120" s="153" t="s">
        <v>97</v>
      </c>
      <c r="D120" s="4">
        <v>1648766206.1099999</v>
      </c>
      <c r="E120" s="3">
        <f t="shared" ref="E120:E130" si="36">(D120/$D$133)</f>
        <v>1.1077772647575775E-3</v>
      </c>
      <c r="F120" s="2">
        <v>171697.84</v>
      </c>
      <c r="G120" s="2">
        <v>171697.84</v>
      </c>
      <c r="H120" s="58">
        <v>21</v>
      </c>
      <c r="I120" s="5">
        <v>1.2187999999999999E-2</v>
      </c>
      <c r="J120" s="5">
        <v>6.6799999999999998E-2</v>
      </c>
      <c r="K120" s="4">
        <v>1643895827.3699999</v>
      </c>
      <c r="L120" s="3">
        <f t="shared" ref="L120:L132" si="37">(K120/$K$133)</f>
        <v>1.0722483677324134E-3</v>
      </c>
      <c r="M120" s="2">
        <f>105.54*1474.68999999847</f>
        <v>155638.78259983854</v>
      </c>
      <c r="N120" s="2">
        <f>105.54*1474.68999999847</f>
        <v>155638.78259983854</v>
      </c>
      <c r="O120" s="58">
        <v>20</v>
      </c>
      <c r="P120" s="5">
        <v>-6.1219999999999998E-3</v>
      </c>
      <c r="Q120" s="5">
        <v>5.91E-2</v>
      </c>
      <c r="R120" s="78">
        <f>((K120-D120)/D120)</f>
        <v>-2.9539535210943517E-3</v>
      </c>
      <c r="S120" s="78">
        <f>((N120-G120)/G120)</f>
        <v>-9.3530922696298674E-2</v>
      </c>
      <c r="T120" s="78">
        <f>((O120-H120)/H120)</f>
        <v>-4.7619047619047616E-2</v>
      </c>
      <c r="U120" s="78">
        <f>P120-I120</f>
        <v>-1.831E-2</v>
      </c>
      <c r="V120" s="80">
        <f>Q120-J120</f>
        <v>-7.6999999999999985E-3</v>
      </c>
    </row>
    <row r="121" spans="1:24">
      <c r="A121" s="140">
        <v>104</v>
      </c>
      <c r="B121" s="139" t="s">
        <v>140</v>
      </c>
      <c r="C121" s="139" t="s">
        <v>23</v>
      </c>
      <c r="D121" s="2">
        <f>8862459.53*1566.618</f>
        <v>13884088623.969538</v>
      </c>
      <c r="E121" s="3">
        <f t="shared" si="36"/>
        <v>9.328477053032613E-3</v>
      </c>
      <c r="F121" s="4">
        <f>130.05*1566.618</f>
        <v>203738.6709</v>
      </c>
      <c r="G121" s="4">
        <f>130.05*1566.618</f>
        <v>203738.6709</v>
      </c>
      <c r="H121" s="58">
        <v>445</v>
      </c>
      <c r="I121" s="5">
        <v>5.0000000000000001E-4</v>
      </c>
      <c r="J121" s="5">
        <v>2.9899999999999999E-2</v>
      </c>
      <c r="K121" s="2">
        <f>8800611.46*1585</f>
        <v>13948969164.100002</v>
      </c>
      <c r="L121" s="3">
        <f t="shared" si="37"/>
        <v>9.0983620547809823E-3</v>
      </c>
      <c r="M121" s="4">
        <f>130.93*1585</f>
        <v>207524.05000000002</v>
      </c>
      <c r="N121" s="4">
        <f>130.93*1585</f>
        <v>207524.05000000002</v>
      </c>
      <c r="O121" s="58">
        <v>446</v>
      </c>
      <c r="P121" s="5">
        <v>5.0000000000000001E-4</v>
      </c>
      <c r="Q121" s="5">
        <v>3.6600000000000001E-2</v>
      </c>
      <c r="R121" s="78">
        <f t="shared" ref="R121:R133" si="38">((K121-D121)/D121)</f>
        <v>4.6730139721561969E-3</v>
      </c>
      <c r="S121" s="78">
        <f t="shared" ref="S121:S133" si="39">((N121-G121)/G121)</f>
        <v>1.8579580809467332E-2</v>
      </c>
      <c r="T121" s="78">
        <f t="shared" ref="T121:T133" si="40">((O121-H121)/H121)</f>
        <v>2.2471910112359553E-3</v>
      </c>
      <c r="U121" s="78">
        <f t="shared" ref="U121:U133" si="41">P121-I121</f>
        <v>0</v>
      </c>
      <c r="V121" s="80">
        <f t="shared" ref="V121:V133" si="42">Q121-J121</f>
        <v>6.7000000000000011E-3</v>
      </c>
    </row>
    <row r="122" spans="1:24">
      <c r="A122" s="149">
        <v>105</v>
      </c>
      <c r="B122" s="138" t="s">
        <v>141</v>
      </c>
      <c r="C122" s="139" t="s">
        <v>58</v>
      </c>
      <c r="D122" s="4">
        <v>16228088975.92</v>
      </c>
      <c r="E122" s="3">
        <f t="shared" si="36"/>
        <v>1.0903370017754892E-2</v>
      </c>
      <c r="F122" s="4">
        <v>177358.82</v>
      </c>
      <c r="G122" s="4">
        <v>177358.82</v>
      </c>
      <c r="H122" s="58">
        <v>614</v>
      </c>
      <c r="I122" s="5">
        <v>1.2999999999999999E-3</v>
      </c>
      <c r="J122" s="5">
        <v>6.3899999999999998E-2</v>
      </c>
      <c r="K122" s="4">
        <v>16124633468.040001</v>
      </c>
      <c r="L122" s="3">
        <f t="shared" si="37"/>
        <v>1.0517462012206857E-2</v>
      </c>
      <c r="M122" s="4">
        <v>177578.7</v>
      </c>
      <c r="N122" s="4">
        <v>177578.7</v>
      </c>
      <c r="O122" s="58">
        <v>616</v>
      </c>
      <c r="P122" s="5">
        <v>1.1999999999999999E-3</v>
      </c>
      <c r="Q122" s="5">
        <v>6.3899999999999998E-2</v>
      </c>
      <c r="R122" s="78">
        <f t="shared" si="38"/>
        <v>-6.3750887756106895E-3</v>
      </c>
      <c r="S122" s="78">
        <f t="shared" si="39"/>
        <v>1.2397466334068115E-3</v>
      </c>
      <c r="T122" s="78">
        <f t="shared" si="40"/>
        <v>3.2573289902280132E-3</v>
      </c>
      <c r="U122" s="78">
        <f t="shared" si="41"/>
        <v>-1.0000000000000005E-4</v>
      </c>
      <c r="V122" s="80">
        <f t="shared" si="42"/>
        <v>0</v>
      </c>
    </row>
    <row r="123" spans="1:24">
      <c r="A123" s="144">
        <v>106</v>
      </c>
      <c r="B123" s="138" t="s">
        <v>142</v>
      </c>
      <c r="C123" s="139" t="s">
        <v>56</v>
      </c>
      <c r="D123" s="4">
        <v>6969604813.2035809</v>
      </c>
      <c r="E123" s="3">
        <f t="shared" si="36"/>
        <v>4.6827559467195971E-3</v>
      </c>
      <c r="F123" s="4">
        <v>1930.1312647075267</v>
      </c>
      <c r="G123" s="4">
        <v>1930.1312647075267</v>
      </c>
      <c r="H123" s="58">
        <v>201</v>
      </c>
      <c r="I123" s="5">
        <v>5.5293969693374294E-2</v>
      </c>
      <c r="J123" s="5">
        <v>5.238274880831581E-2</v>
      </c>
      <c r="K123" s="4">
        <v>7097478685.0597353</v>
      </c>
      <c r="L123" s="3">
        <f t="shared" si="37"/>
        <v>4.6294052265137952E-3</v>
      </c>
      <c r="M123" s="4">
        <v>1943.3725811947311</v>
      </c>
      <c r="N123" s="4">
        <v>1943.3725811947311</v>
      </c>
      <c r="O123" s="58">
        <v>202</v>
      </c>
      <c r="P123" s="5">
        <v>5.5577244326731043E-2</v>
      </c>
      <c r="Q123" s="5">
        <v>5.2547741165491796E-2</v>
      </c>
      <c r="R123" s="78">
        <f t="shared" si="38"/>
        <v>1.8347363341735465E-2</v>
      </c>
      <c r="S123" s="78">
        <f t="shared" si="39"/>
        <v>6.8603191551382999E-3</v>
      </c>
      <c r="T123" s="78">
        <f t="shared" si="40"/>
        <v>4.9751243781094526E-3</v>
      </c>
      <c r="U123" s="78">
        <f t="shared" si="41"/>
        <v>2.8327463335674902E-4</v>
      </c>
      <c r="V123" s="80">
        <f t="shared" si="42"/>
        <v>1.6499235717598593E-4</v>
      </c>
    </row>
    <row r="124" spans="1:24">
      <c r="A124" s="145">
        <v>107</v>
      </c>
      <c r="B124" s="138" t="s">
        <v>276</v>
      </c>
      <c r="C124" s="139" t="s">
        <v>32</v>
      </c>
      <c r="D124" s="4">
        <v>58459488178.667</v>
      </c>
      <c r="E124" s="3">
        <f t="shared" si="36"/>
        <v>3.9277910763638679E-2</v>
      </c>
      <c r="F124" s="4">
        <f>100*1566.618</f>
        <v>156661.79999999999</v>
      </c>
      <c r="G124" s="4">
        <f>100*1566.618</f>
        <v>156661.79999999999</v>
      </c>
      <c r="H124" s="58">
        <v>1497</v>
      </c>
      <c r="I124" s="5">
        <v>6.6100000000000006E-2</v>
      </c>
      <c r="J124" s="5">
        <v>6.0959199999999998E-2</v>
      </c>
      <c r="K124" s="4">
        <v>59577540797.131996</v>
      </c>
      <c r="L124" s="3">
        <f t="shared" si="37"/>
        <v>3.8860078485288246E-2</v>
      </c>
      <c r="M124" s="4">
        <f>100*1585</f>
        <v>158500</v>
      </c>
      <c r="N124" s="4">
        <f>100*1585</f>
        <v>158500</v>
      </c>
      <c r="O124" s="58">
        <v>1521</v>
      </c>
      <c r="P124" s="5">
        <v>5.9700000000000003E-2</v>
      </c>
      <c r="Q124" s="5">
        <v>6.0778549878979599E-2</v>
      </c>
      <c r="R124" s="78">
        <f>((K124-D124)/D124)</f>
        <v>1.9125254997921712E-2</v>
      </c>
      <c r="S124" s="78">
        <f>((N124-G124)/G124)</f>
        <v>1.1733555978547494E-2</v>
      </c>
      <c r="T124" s="78">
        <f>((O124-H124)/H124)</f>
        <v>1.6032064128256512E-2</v>
      </c>
      <c r="U124" s="78">
        <f>P124-I124</f>
        <v>-6.4000000000000029E-3</v>
      </c>
      <c r="V124" s="80">
        <f>Q124-J124</f>
        <v>-1.8065012102039951E-4</v>
      </c>
    </row>
    <row r="125" spans="1:24" ht="15.75">
      <c r="A125" s="144">
        <v>108</v>
      </c>
      <c r="B125" s="138" t="s">
        <v>251</v>
      </c>
      <c r="C125" s="139" t="s">
        <v>114</v>
      </c>
      <c r="D125" s="4">
        <v>1443812417.77</v>
      </c>
      <c r="E125" s="3">
        <f t="shared" si="36"/>
        <v>9.7007238810034634E-4</v>
      </c>
      <c r="F125" s="4">
        <f>1.057607*1566.618</f>
        <v>1656.8661631259999</v>
      </c>
      <c r="G125" s="4">
        <f>1.076923*1566.618</f>
        <v>1687.126956414</v>
      </c>
      <c r="H125" s="58">
        <v>36</v>
      </c>
      <c r="I125" s="5">
        <v>4.7999999999999996E-3</v>
      </c>
      <c r="J125" s="5">
        <v>0.08</v>
      </c>
      <c r="K125" s="4">
        <v>1414451797.1099999</v>
      </c>
      <c r="L125" s="3">
        <f t="shared" si="37"/>
        <v>9.2259108237642453E-4</v>
      </c>
      <c r="M125" s="4">
        <f>1.059029*1585</f>
        <v>1678.5609649999999</v>
      </c>
      <c r="N125" s="4">
        <f>1.079024*1585</f>
        <v>1710.2530400000001</v>
      </c>
      <c r="O125" s="58">
        <v>36</v>
      </c>
      <c r="P125" s="5">
        <v>8.9999999999999998E-4</v>
      </c>
      <c r="Q125" s="5">
        <v>7.4300000000000005E-2</v>
      </c>
      <c r="R125" s="78">
        <f t="shared" si="38"/>
        <v>-2.0335481464654675E-2</v>
      </c>
      <c r="S125" s="78">
        <f t="shared" si="39"/>
        <v>1.3707376020566171E-2</v>
      </c>
      <c r="T125" s="78">
        <f t="shared" si="40"/>
        <v>0</v>
      </c>
      <c r="U125" s="78">
        <f t="shared" si="41"/>
        <v>-3.8999999999999998E-3</v>
      </c>
      <c r="V125" s="80">
        <f t="shared" si="42"/>
        <v>-5.6999999999999967E-3</v>
      </c>
      <c r="X125" s="114"/>
    </row>
    <row r="126" spans="1:24" ht="15.75">
      <c r="A126" s="146">
        <v>109</v>
      </c>
      <c r="B126" s="138" t="s">
        <v>257</v>
      </c>
      <c r="C126" s="139" t="s">
        <v>36</v>
      </c>
      <c r="D126" s="2">
        <f>1623331.56*1566.618</f>
        <v>2543140441.86408</v>
      </c>
      <c r="E126" s="3">
        <f t="shared" si="36"/>
        <v>1.7086917187788429E-3</v>
      </c>
      <c r="F126" s="4">
        <f>10.24*1566.618</f>
        <v>16042.168319999999</v>
      </c>
      <c r="G126" s="4">
        <f>10.24*1566.618</f>
        <v>16042.168319999999</v>
      </c>
      <c r="H126" s="58">
        <v>55</v>
      </c>
      <c r="I126" s="5">
        <v>7.6399999999999996E-2</v>
      </c>
      <c r="J126" s="5">
        <v>9.7600000000000006E-2</v>
      </c>
      <c r="K126" s="2">
        <f>1727810.62*1585</f>
        <v>2738579832.7000003</v>
      </c>
      <c r="L126" s="3">
        <f t="shared" si="37"/>
        <v>1.786267539966547E-3</v>
      </c>
      <c r="M126" s="4">
        <f>10.25*1585</f>
        <v>16246.25</v>
      </c>
      <c r="N126" s="4">
        <f>10.25*1585</f>
        <v>16246.25</v>
      </c>
      <c r="O126" s="58">
        <v>57</v>
      </c>
      <c r="P126" s="5">
        <v>7.6399999999999996E-2</v>
      </c>
      <c r="Q126" s="5">
        <v>9.7699999999999995E-2</v>
      </c>
      <c r="R126" s="78">
        <f>((K126-D126)/D126)</f>
        <v>7.6849625611972297E-2</v>
      </c>
      <c r="S126" s="78">
        <f>((N126-G126)/G126)</f>
        <v>1.2721577029307792E-2</v>
      </c>
      <c r="T126" s="78">
        <f>((O126-H126)/H126)</f>
        <v>3.6363636363636362E-2</v>
      </c>
      <c r="U126" s="78">
        <f>P126-I126</f>
        <v>0</v>
      </c>
      <c r="V126" s="80">
        <f>Q126-J126</f>
        <v>9.9999999999988987E-5</v>
      </c>
      <c r="X126" s="114"/>
    </row>
    <row r="127" spans="1:24" ht="15.75">
      <c r="A127" s="81">
        <v>110</v>
      </c>
      <c r="B127" s="153" t="s">
        <v>143</v>
      </c>
      <c r="C127" s="155" t="s">
        <v>40</v>
      </c>
      <c r="D127" s="4">
        <v>17317828162</v>
      </c>
      <c r="E127" s="3">
        <f t="shared" si="36"/>
        <v>1.1635546775369921E-2</v>
      </c>
      <c r="F127" s="4">
        <f>1.0685*1566.618</f>
        <v>1673.931333</v>
      </c>
      <c r="G127" s="4">
        <f>1.0685*1566.618</f>
        <v>1673.931333</v>
      </c>
      <c r="H127" s="58">
        <v>371</v>
      </c>
      <c r="I127" s="5">
        <v>-4.5999999999999999E-3</v>
      </c>
      <c r="J127" s="5">
        <v>0.10050000000000001</v>
      </c>
      <c r="K127" s="4">
        <v>18204350383</v>
      </c>
      <c r="L127" s="3">
        <f t="shared" si="37"/>
        <v>1.1873979274604797E-2</v>
      </c>
      <c r="M127" s="4">
        <f>1.0225*1585</f>
        <v>1620.6624999999999</v>
      </c>
      <c r="N127" s="4">
        <f>1.0225*1585</f>
        <v>1620.6624999999999</v>
      </c>
      <c r="O127" s="58">
        <v>371</v>
      </c>
      <c r="P127" s="5">
        <v>2.3E-3</v>
      </c>
      <c r="Q127" s="5">
        <v>5.8599999999999999E-2</v>
      </c>
      <c r="R127" s="78">
        <f t="shared" si="38"/>
        <v>5.1191304862654177E-2</v>
      </c>
      <c r="S127" s="78">
        <f t="shared" si="39"/>
        <v>-3.1822591494558093E-2</v>
      </c>
      <c r="T127" s="78">
        <f t="shared" si="40"/>
        <v>0</v>
      </c>
      <c r="U127" s="78">
        <f t="shared" si="41"/>
        <v>6.8999999999999999E-3</v>
      </c>
      <c r="V127" s="80">
        <f t="shared" si="42"/>
        <v>-4.1900000000000007E-2</v>
      </c>
      <c r="X127" s="114"/>
    </row>
    <row r="128" spans="1:24">
      <c r="A128" s="81">
        <v>111</v>
      </c>
      <c r="B128" s="152" t="s">
        <v>144</v>
      </c>
      <c r="C128" s="153" t="s">
        <v>80</v>
      </c>
      <c r="D128" s="2">
        <v>478103599.33999997</v>
      </c>
      <c r="E128" s="3">
        <f t="shared" si="36"/>
        <v>3.2122947182257008E-4</v>
      </c>
      <c r="F128" s="4">
        <f>1.07*1569.62</f>
        <v>1679.4934000000001</v>
      </c>
      <c r="G128" s="4">
        <f>1.07*1569.62</f>
        <v>1679.4934000000001</v>
      </c>
      <c r="H128" s="58">
        <v>3</v>
      </c>
      <c r="I128" s="5">
        <v>1.6074999999999999E-2</v>
      </c>
      <c r="J128" s="5">
        <v>3.3659000000000001E-2</v>
      </c>
      <c r="K128" s="2">
        <v>488108367.89999998</v>
      </c>
      <c r="L128" s="3">
        <f t="shared" si="37"/>
        <v>3.1837382396342624E-4</v>
      </c>
      <c r="M128" s="4">
        <f>1.05*1585</f>
        <v>1664.25</v>
      </c>
      <c r="N128" s="4">
        <f>1.05*1585</f>
        <v>1664.25</v>
      </c>
      <c r="O128" s="58">
        <v>3</v>
      </c>
      <c r="P128" s="5">
        <v>-1.7222999999999999E-2</v>
      </c>
      <c r="Q128" s="5">
        <v>1.5857E-2</v>
      </c>
      <c r="R128" s="78">
        <f t="shared" si="38"/>
        <v>2.0925942774350843E-2</v>
      </c>
      <c r="S128" s="78">
        <f t="shared" si="39"/>
        <v>-9.0761892842211016E-3</v>
      </c>
      <c r="T128" s="78">
        <f t="shared" si="40"/>
        <v>0</v>
      </c>
      <c r="U128" s="78">
        <f t="shared" si="41"/>
        <v>-3.3297999999999994E-2</v>
      </c>
      <c r="V128" s="80">
        <f t="shared" si="42"/>
        <v>-1.7802000000000002E-2</v>
      </c>
    </row>
    <row r="129" spans="1:22">
      <c r="A129" s="81">
        <v>112</v>
      </c>
      <c r="B129" s="152" t="s">
        <v>145</v>
      </c>
      <c r="C129" s="153" t="s">
        <v>42</v>
      </c>
      <c r="D129" s="2">
        <v>870393435349.64001</v>
      </c>
      <c r="E129" s="3">
        <f t="shared" si="36"/>
        <v>0.58480217237679566</v>
      </c>
      <c r="F129" s="4">
        <v>2389.2800000000002</v>
      </c>
      <c r="G129" s="4">
        <v>2389.2800000000002</v>
      </c>
      <c r="H129" s="58">
        <v>7800</v>
      </c>
      <c r="I129" s="5">
        <v>1.4E-3</v>
      </c>
      <c r="J129" s="5">
        <v>3.9300000000000002E-2</v>
      </c>
      <c r="K129" s="2">
        <v>899267799410.70996</v>
      </c>
      <c r="L129" s="3">
        <f t="shared" si="37"/>
        <v>0.58655689370238129</v>
      </c>
      <c r="M129" s="4">
        <v>2406.4277000000002</v>
      </c>
      <c r="N129" s="4">
        <v>2406.4277000000002</v>
      </c>
      <c r="O129" s="58">
        <v>7871</v>
      </c>
      <c r="P129" s="5">
        <v>2.2000000000000001E-3</v>
      </c>
      <c r="Q129" s="5">
        <v>4.07E-2</v>
      </c>
      <c r="R129" s="78">
        <f t="shared" si="38"/>
        <v>3.3173922146449798E-2</v>
      </c>
      <c r="S129" s="78">
        <f t="shared" si="39"/>
        <v>7.1769319627670199E-3</v>
      </c>
      <c r="T129" s="78">
        <f t="shared" si="40"/>
        <v>9.1025641025641018E-3</v>
      </c>
      <c r="U129" s="78">
        <f t="shared" si="41"/>
        <v>8.0000000000000015E-4</v>
      </c>
      <c r="V129" s="80">
        <f t="shared" si="42"/>
        <v>1.3999999999999985E-3</v>
      </c>
    </row>
    <row r="130" spans="1:22" ht="16.5" customHeight="1">
      <c r="A130" s="81">
        <v>113</v>
      </c>
      <c r="B130" s="152" t="s">
        <v>146</v>
      </c>
      <c r="C130" s="153" t="s">
        <v>45</v>
      </c>
      <c r="D130" s="2">
        <f>44610146.02*1563.8</f>
        <v>69761346346.076004</v>
      </c>
      <c r="E130" s="3">
        <f t="shared" si="36"/>
        <v>4.6871432198620798E-2</v>
      </c>
      <c r="F130" s="4">
        <f>1.1171*1563.8</f>
        <v>1746.9209799999999</v>
      </c>
      <c r="G130" s="4">
        <f>1.1171*1563.8</f>
        <v>1746.9209799999999</v>
      </c>
      <c r="H130" s="58">
        <v>291</v>
      </c>
      <c r="I130" s="5">
        <v>0.1031</v>
      </c>
      <c r="J130" s="5">
        <v>8.3900000000000002E-2</v>
      </c>
      <c r="K130" s="2">
        <v>72461469614.070999</v>
      </c>
      <c r="L130" s="3">
        <f t="shared" si="37"/>
        <v>4.7263756756097605E-2</v>
      </c>
      <c r="M130" s="4">
        <f>1.1192*1596.92</f>
        <v>1787.272864</v>
      </c>
      <c r="N130" s="4">
        <f>1.1192*1596.92</f>
        <v>1787.272864</v>
      </c>
      <c r="O130" s="58">
        <v>322</v>
      </c>
      <c r="P130" s="5">
        <v>0.1028</v>
      </c>
      <c r="Q130" s="5">
        <v>8.4500000000000006E-2</v>
      </c>
      <c r="R130" s="78">
        <f t="shared" si="38"/>
        <v>3.8705148472910372E-2</v>
      </c>
      <c r="S130" s="78">
        <f t="shared" si="39"/>
        <v>2.309886048766794E-2</v>
      </c>
      <c r="T130" s="78">
        <f t="shared" si="40"/>
        <v>0.10652920962199312</v>
      </c>
      <c r="U130" s="78">
        <f t="shared" si="41"/>
        <v>-2.9999999999999472E-4</v>
      </c>
      <c r="V130" s="80">
        <f t="shared" si="42"/>
        <v>6.0000000000000331E-4</v>
      </c>
    </row>
    <row r="131" spans="1:22" ht="16.5" customHeight="1">
      <c r="A131" s="140">
        <v>114</v>
      </c>
      <c r="B131" s="138" t="s">
        <v>281</v>
      </c>
      <c r="C131" s="139" t="s">
        <v>279</v>
      </c>
      <c r="D131" s="4">
        <v>89234189.769999996</v>
      </c>
      <c r="E131" s="3">
        <v>0</v>
      </c>
      <c r="F131" s="4">
        <v>158092.13</v>
      </c>
      <c r="G131" s="4">
        <v>158092.13</v>
      </c>
      <c r="H131" s="58">
        <v>5</v>
      </c>
      <c r="I131" s="5">
        <v>2.5700000000000001E-2</v>
      </c>
      <c r="J131" s="5">
        <v>3.3000000000000002E-2</v>
      </c>
      <c r="K131" s="4">
        <v>89100780.560380325</v>
      </c>
      <c r="L131" s="3">
        <f t="shared" si="37"/>
        <v>5.8116922574345401E-5</v>
      </c>
      <c r="M131" s="4">
        <v>157856.68339999998</v>
      </c>
      <c r="N131" s="4">
        <v>157856.68339999998</v>
      </c>
      <c r="O131" s="58">
        <v>5</v>
      </c>
      <c r="P131" s="5">
        <v>-7.4800000000000005E-2</v>
      </c>
      <c r="Q131" s="5">
        <v>2.4799999999999999E-2</v>
      </c>
      <c r="R131" s="78">
        <f>((K131-D131)/D131)</f>
        <v>-1.4950459007195748E-3</v>
      </c>
      <c r="S131" s="78">
        <f>((N131-G131)/G131)</f>
        <v>-1.4892999417493126E-3</v>
      </c>
      <c r="T131" s="78">
        <f>((O131-H131)/H131)</f>
        <v>0</v>
      </c>
      <c r="U131" s="78">
        <f>P131-I131</f>
        <v>-0.10050000000000001</v>
      </c>
      <c r="V131" s="80">
        <f>Q131-J131</f>
        <v>-8.2000000000000024E-3</v>
      </c>
    </row>
    <row r="132" spans="1:22">
      <c r="A132" s="149">
        <v>115</v>
      </c>
      <c r="B132" s="138" t="s">
        <v>261</v>
      </c>
      <c r="C132" s="139" t="s">
        <v>259</v>
      </c>
      <c r="D132" s="4">
        <f>827475.97*1566.618</f>
        <v>1296338749.1694598</v>
      </c>
      <c r="E132" s="3">
        <f>(D132/$D$133)</f>
        <v>8.7098740162945521E-4</v>
      </c>
      <c r="F132" s="4">
        <f>1.18*1566.618</f>
        <v>1848.6092399999998</v>
      </c>
      <c r="G132" s="4">
        <f>1.18*1566.618</f>
        <v>1848.6092399999998</v>
      </c>
      <c r="H132" s="58">
        <v>39</v>
      </c>
      <c r="I132" s="5">
        <v>5.0799999999999999E-4</v>
      </c>
      <c r="J132" s="5">
        <v>7.0795999999999998E-2</v>
      </c>
      <c r="K132" s="4">
        <f>863875.55*1585</f>
        <v>1369242746.75</v>
      </c>
      <c r="L132" s="3">
        <f t="shared" si="37"/>
        <v>8.9310300311485962E-4</v>
      </c>
      <c r="M132" s="4">
        <f>1.18*1585</f>
        <v>1870.3</v>
      </c>
      <c r="N132" s="4">
        <f>1.18*1585</f>
        <v>1870.3</v>
      </c>
      <c r="O132" s="58">
        <v>40</v>
      </c>
      <c r="P132" s="5">
        <v>1.3270000000000001E-3</v>
      </c>
      <c r="Q132" s="5">
        <v>7.2217000000000003E-2</v>
      </c>
      <c r="R132" s="78">
        <f t="shared" si="38"/>
        <v>5.6238384933913622E-2</v>
      </c>
      <c r="S132" s="78">
        <f t="shared" si="39"/>
        <v>1.1733555978547519E-2</v>
      </c>
      <c r="T132" s="78">
        <f t="shared" si="40"/>
        <v>2.564102564102564E-2</v>
      </c>
      <c r="U132" s="78">
        <f t="shared" si="41"/>
        <v>8.1900000000000007E-4</v>
      </c>
      <c r="V132" s="80">
        <f t="shared" si="42"/>
        <v>1.4210000000000056E-3</v>
      </c>
    </row>
    <row r="133" spans="1:22">
      <c r="A133" s="72"/>
      <c r="B133" s="136"/>
      <c r="C133" s="64" t="s">
        <v>46</v>
      </c>
      <c r="D133" s="57">
        <f>SUM(D103:D132)</f>
        <v>1488355338715.866</v>
      </c>
      <c r="E133" s="97">
        <f>(D133/$D$198)</f>
        <v>0.48055460085423796</v>
      </c>
      <c r="F133" s="30"/>
      <c r="G133" s="11"/>
      <c r="H133" s="63">
        <f>SUM(H103:H132)</f>
        <v>18596</v>
      </c>
      <c r="I133" s="33"/>
      <c r="J133" s="33"/>
      <c r="K133" s="57">
        <f>SUM(K103:K132)</f>
        <v>1533129708414.949</v>
      </c>
      <c r="L133" s="97">
        <f>(K133/$K$198)</f>
        <v>0.48488519150656556</v>
      </c>
      <c r="M133" s="30"/>
      <c r="N133" s="11"/>
      <c r="O133" s="63">
        <f>SUM(O103:O132)</f>
        <v>18755</v>
      </c>
      <c r="P133" s="33"/>
      <c r="Q133" s="33"/>
      <c r="R133" s="78">
        <f t="shared" si="38"/>
        <v>3.0083118281225615E-2</v>
      </c>
      <c r="S133" s="78" t="e">
        <f t="shared" si="39"/>
        <v>#DIV/0!</v>
      </c>
      <c r="T133" s="78">
        <f t="shared" si="40"/>
        <v>8.5502258550225856E-3</v>
      </c>
      <c r="U133" s="78">
        <f t="shared" si="41"/>
        <v>0</v>
      </c>
      <c r="V133" s="80">
        <f t="shared" si="42"/>
        <v>0</v>
      </c>
    </row>
    <row r="134" spans="1:22" ht="8.25" customHeight="1">
      <c r="A134" s="160"/>
      <c r="B134" s="160"/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</row>
    <row r="135" spans="1:22" ht="15.75">
      <c r="A135" s="158" t="s">
        <v>147</v>
      </c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</row>
    <row r="136" spans="1:22">
      <c r="A136" s="146">
        <v>116</v>
      </c>
      <c r="B136" s="138" t="s">
        <v>243</v>
      </c>
      <c r="C136" s="139" t="s">
        <v>244</v>
      </c>
      <c r="D136" s="2">
        <v>2347702196.5</v>
      </c>
      <c r="E136" s="3">
        <f>(D136/$D$141)</f>
        <v>2.3791632403005396E-2</v>
      </c>
      <c r="F136" s="14">
        <v>111.52</v>
      </c>
      <c r="G136" s="14">
        <v>111.52</v>
      </c>
      <c r="H136" s="58">
        <v>7</v>
      </c>
      <c r="I136" s="5">
        <v>2.7875191079937967E-3</v>
      </c>
      <c r="J136" s="5">
        <v>8.2299999999999998E-2</v>
      </c>
      <c r="K136" s="2">
        <v>2352899637.2645063</v>
      </c>
      <c r="L136" s="3">
        <f>(K136/$K$141)</f>
        <v>2.3793012741076529E-2</v>
      </c>
      <c r="M136" s="14">
        <v>110.88122701529248</v>
      </c>
      <c r="N136" s="14">
        <v>110.88122701529248</v>
      </c>
      <c r="O136" s="58">
        <v>7</v>
      </c>
      <c r="P136" s="5">
        <v>1.5496242614094768E-3</v>
      </c>
      <c r="Q136" s="5">
        <v>8.48E-2</v>
      </c>
      <c r="R136" s="78">
        <f t="shared" ref="R136:R141" si="43">((K136-D136)/D136)</f>
        <v>2.2138415904090331E-3</v>
      </c>
      <c r="S136" s="78">
        <f t="shared" ref="S136:T141" si="44">((N136-G136)/G136)</f>
        <v>-5.7278782703328104E-3</v>
      </c>
      <c r="T136" s="78">
        <f t="shared" si="44"/>
        <v>0</v>
      </c>
      <c r="U136" s="78">
        <f t="shared" ref="U136:V141" si="45">P136-I136</f>
        <v>-1.2378948465843198E-3</v>
      </c>
      <c r="V136" s="80">
        <f t="shared" si="45"/>
        <v>2.5000000000000022E-3</v>
      </c>
    </row>
    <row r="137" spans="1:22">
      <c r="A137" s="81">
        <v>117</v>
      </c>
      <c r="B137" s="152" t="s">
        <v>148</v>
      </c>
      <c r="C137" s="153" t="s">
        <v>40</v>
      </c>
      <c r="D137" s="2">
        <v>53749983529</v>
      </c>
      <c r="E137" s="3">
        <f>(D137/$D$141)</f>
        <v>0.544702753056168</v>
      </c>
      <c r="F137" s="14">
        <v>102.5</v>
      </c>
      <c r="G137" s="14">
        <v>102.5</v>
      </c>
      <c r="H137" s="58">
        <v>666</v>
      </c>
      <c r="I137" s="5">
        <v>0</v>
      </c>
      <c r="J137" s="5">
        <v>7.6999999999999999E-2</v>
      </c>
      <c r="K137" s="2">
        <v>53749983529</v>
      </c>
      <c r="L137" s="3">
        <f>(K137/$K$141)</f>
        <v>0.5435310638344848</v>
      </c>
      <c r="M137" s="14">
        <v>102.5</v>
      </c>
      <c r="N137" s="14">
        <v>102.5</v>
      </c>
      <c r="O137" s="58">
        <v>666</v>
      </c>
      <c r="P137" s="5">
        <v>0</v>
      </c>
      <c r="Q137" s="5">
        <v>7.6999999999999999E-2</v>
      </c>
      <c r="R137" s="78">
        <f t="shared" si="43"/>
        <v>0</v>
      </c>
      <c r="S137" s="78">
        <f t="shared" si="44"/>
        <v>0</v>
      </c>
      <c r="T137" s="78">
        <f t="shared" si="44"/>
        <v>0</v>
      </c>
      <c r="U137" s="78">
        <f t="shared" si="45"/>
        <v>0</v>
      </c>
      <c r="V137" s="80">
        <f t="shared" si="45"/>
        <v>0</v>
      </c>
    </row>
    <row r="138" spans="1:22" ht="15.75" customHeight="1">
      <c r="A138" s="81">
        <v>118</v>
      </c>
      <c r="B138" s="152" t="s">
        <v>149</v>
      </c>
      <c r="C138" s="153" t="s">
        <v>120</v>
      </c>
      <c r="D138" s="2">
        <v>2445699347.644268</v>
      </c>
      <c r="E138" s="3">
        <f>(D138/$D$141)</f>
        <v>2.4784736298398113E-2</v>
      </c>
      <c r="F138" s="14">
        <v>101.4</v>
      </c>
      <c r="G138" s="14">
        <v>101.4</v>
      </c>
      <c r="H138" s="58">
        <v>2835</v>
      </c>
      <c r="I138" s="5">
        <v>0.15782563774971001</v>
      </c>
      <c r="J138" s="5">
        <v>9.9161260338289717E-2</v>
      </c>
      <c r="K138" s="2">
        <v>2449309478.3984241</v>
      </c>
      <c r="L138" s="3">
        <f>(K138/$K$141)</f>
        <v>2.4767929198257571E-2</v>
      </c>
      <c r="M138" s="14">
        <v>101.4</v>
      </c>
      <c r="N138" s="14">
        <v>101.4</v>
      </c>
      <c r="O138" s="58">
        <v>2835</v>
      </c>
      <c r="P138" s="5">
        <v>9.6597446437898138E-2</v>
      </c>
      <c r="Q138" s="5">
        <v>9.8203927921390585E-2</v>
      </c>
      <c r="R138" s="78">
        <f t="shared" si="43"/>
        <v>1.4761138803236144E-3</v>
      </c>
      <c r="S138" s="78">
        <f t="shared" si="44"/>
        <v>0</v>
      </c>
      <c r="T138" s="78">
        <f t="shared" si="44"/>
        <v>0</v>
      </c>
      <c r="U138" s="78">
        <f t="shared" si="45"/>
        <v>-6.1228191311811869E-2</v>
      </c>
      <c r="V138" s="80">
        <f t="shared" si="45"/>
        <v>-9.5733241689913151E-4</v>
      </c>
    </row>
    <row r="139" spans="1:22">
      <c r="A139" s="146">
        <v>119</v>
      </c>
      <c r="B139" s="138" t="s">
        <v>150</v>
      </c>
      <c r="C139" s="139" t="s">
        <v>120</v>
      </c>
      <c r="D139" s="2">
        <v>10635331791</v>
      </c>
      <c r="E139" s="3">
        <f>(D139/$D$141)</f>
        <v>0.10777853546872082</v>
      </c>
      <c r="F139" s="14">
        <v>36.6</v>
      </c>
      <c r="G139" s="14">
        <v>36.6</v>
      </c>
      <c r="H139" s="58">
        <v>5261</v>
      </c>
      <c r="I139" s="5">
        <v>8.3375518882254862E-2</v>
      </c>
      <c r="J139" s="5">
        <v>0.20180000000000001</v>
      </c>
      <c r="K139" s="2">
        <v>10650949275.719999</v>
      </c>
      <c r="L139" s="3">
        <f>(K139/$K$141)</f>
        <v>0.10770462445920179</v>
      </c>
      <c r="M139" s="14">
        <v>36.6</v>
      </c>
      <c r="N139" s="14">
        <v>36.6</v>
      </c>
      <c r="O139" s="58">
        <v>5261</v>
      </c>
      <c r="P139" s="5">
        <v>8.3242778802655099E-2</v>
      </c>
      <c r="Q139" s="5">
        <v>0.20302897278314291</v>
      </c>
      <c r="R139" s="78">
        <f t="shared" si="43"/>
        <v>1.468452985473889E-3</v>
      </c>
      <c r="S139" s="78">
        <f t="shared" si="44"/>
        <v>0</v>
      </c>
      <c r="T139" s="78">
        <f t="shared" si="44"/>
        <v>0</v>
      </c>
      <c r="U139" s="78">
        <f t="shared" si="45"/>
        <v>-1.3274007959976353E-4</v>
      </c>
      <c r="V139" s="80">
        <f t="shared" si="45"/>
        <v>1.2289727831429065E-3</v>
      </c>
    </row>
    <row r="140" spans="1:22">
      <c r="A140" s="81">
        <v>120</v>
      </c>
      <c r="B140" s="152" t="s">
        <v>151</v>
      </c>
      <c r="C140" s="153" t="s">
        <v>42</v>
      </c>
      <c r="D140" s="2">
        <v>29498925625.130001</v>
      </c>
      <c r="E140" s="3">
        <f>(D140/$D$141)</f>
        <v>0.29894234277370757</v>
      </c>
      <c r="F140" s="14">
        <v>4.8</v>
      </c>
      <c r="G140" s="14">
        <v>4.8</v>
      </c>
      <c r="H140" s="58">
        <v>208270</v>
      </c>
      <c r="I140" s="5">
        <v>6.6699999999999995E-2</v>
      </c>
      <c r="J140" s="5">
        <v>-0.25</v>
      </c>
      <c r="K140" s="2">
        <v>29687219837.060001</v>
      </c>
      <c r="L140" s="3">
        <f>(K140/$K$141)</f>
        <v>0.30020336976697948</v>
      </c>
      <c r="M140" s="14">
        <v>4.8</v>
      </c>
      <c r="N140" s="14">
        <v>4.8</v>
      </c>
      <c r="O140" s="58">
        <v>208270</v>
      </c>
      <c r="P140" s="5">
        <v>0.15659999999999999</v>
      </c>
      <c r="Q140" s="5">
        <v>-0.25</v>
      </c>
      <c r="R140" s="78">
        <f t="shared" si="43"/>
        <v>6.3830871104537217E-3</v>
      </c>
      <c r="S140" s="78">
        <f t="shared" si="44"/>
        <v>0</v>
      </c>
      <c r="T140" s="78">
        <f t="shared" si="44"/>
        <v>0</v>
      </c>
      <c r="U140" s="78">
        <f t="shared" si="45"/>
        <v>8.9899999999999994E-2</v>
      </c>
      <c r="V140" s="80">
        <f t="shared" si="45"/>
        <v>0</v>
      </c>
    </row>
    <row r="141" spans="1:22">
      <c r="A141" s="116"/>
      <c r="B141" s="137"/>
      <c r="C141" s="69" t="s">
        <v>46</v>
      </c>
      <c r="D141" s="56">
        <f>SUM(D136:D140)</f>
        <v>98677642489.274277</v>
      </c>
      <c r="E141" s="97">
        <f>(D141/$D$198)</f>
        <v>3.186066785676582E-2</v>
      </c>
      <c r="F141" s="30"/>
      <c r="G141" s="34"/>
      <c r="H141" s="63">
        <f>SUM(H136:H140)</f>
        <v>217039</v>
      </c>
      <c r="I141" s="35"/>
      <c r="J141" s="35"/>
      <c r="K141" s="56">
        <f>SUM(K136:K140)</f>
        <v>98890361757.442917</v>
      </c>
      <c r="L141" s="97">
        <f>(K141/$K$198)</f>
        <v>3.1276200399564129E-2</v>
      </c>
      <c r="M141" s="30"/>
      <c r="N141" s="34"/>
      <c r="O141" s="63">
        <f>SUM(O136:O140)</f>
        <v>217039</v>
      </c>
      <c r="P141" s="35"/>
      <c r="Q141" s="35"/>
      <c r="R141" s="78">
        <f t="shared" si="43"/>
        <v>2.1556987256942379E-3</v>
      </c>
      <c r="S141" s="78" t="e">
        <f t="shared" si="44"/>
        <v>#DIV/0!</v>
      </c>
      <c r="T141" s="78">
        <f t="shared" si="44"/>
        <v>0</v>
      </c>
      <c r="U141" s="78">
        <f t="shared" si="45"/>
        <v>0</v>
      </c>
      <c r="V141" s="80">
        <f t="shared" si="45"/>
        <v>0</v>
      </c>
    </row>
    <row r="142" spans="1:22" ht="7.5" customHeight="1">
      <c r="A142" s="160"/>
      <c r="B142" s="160"/>
      <c r="C142" s="16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</row>
    <row r="143" spans="1:22" ht="15" customHeight="1">
      <c r="A143" s="158" t="s">
        <v>152</v>
      </c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</row>
    <row r="144" spans="1:22">
      <c r="A144" s="140">
        <v>121</v>
      </c>
      <c r="B144" s="138" t="s">
        <v>153</v>
      </c>
      <c r="C144" s="139" t="s">
        <v>50</v>
      </c>
      <c r="D144" s="4">
        <v>240672962.31</v>
      </c>
      <c r="E144" s="3">
        <f t="shared" ref="E144:E171" si="46">(D144/$D$172)</f>
        <v>4.8855995564065328E-3</v>
      </c>
      <c r="F144" s="4">
        <v>5.4</v>
      </c>
      <c r="G144" s="4">
        <v>5.48</v>
      </c>
      <c r="H144" s="60">
        <v>11833</v>
      </c>
      <c r="I144" s="6">
        <v>7.1599999999999995E-4</v>
      </c>
      <c r="J144" s="6">
        <v>7.4095999999999995E-2</v>
      </c>
      <c r="K144" s="4">
        <v>241671951</v>
      </c>
      <c r="L144" s="16">
        <f t="shared" ref="L144:L171" si="47">(K144/$K$172)</f>
        <v>4.9167380334058357E-3</v>
      </c>
      <c r="M144" s="4">
        <v>5.43</v>
      </c>
      <c r="N144" s="4">
        <v>5.5</v>
      </c>
      <c r="O144" s="60">
        <v>11833</v>
      </c>
      <c r="P144" s="6">
        <v>4.7910000000000001E-3</v>
      </c>
      <c r="Q144" s="6">
        <v>7.8886999999999999E-2</v>
      </c>
      <c r="R144" s="78">
        <f>((K144-D144)/D144)</f>
        <v>4.1508139527249646E-3</v>
      </c>
      <c r="S144" s="78">
        <f>((N144-G144)/G144)</f>
        <v>3.6496350364962722E-3</v>
      </c>
      <c r="T144" s="78">
        <f>((O144-H144)/H144)</f>
        <v>0</v>
      </c>
      <c r="U144" s="78">
        <f>P144-I144</f>
        <v>4.0750000000000005E-3</v>
      </c>
      <c r="V144" s="80">
        <f>Q144-J144</f>
        <v>4.7910000000000036E-3</v>
      </c>
    </row>
    <row r="145" spans="1:24">
      <c r="A145" s="146">
        <v>122</v>
      </c>
      <c r="B145" s="138" t="s">
        <v>253</v>
      </c>
      <c r="C145" s="138" t="s">
        <v>252</v>
      </c>
      <c r="D145" s="4">
        <v>613817169.03853965</v>
      </c>
      <c r="E145" s="3">
        <f t="shared" si="46"/>
        <v>1.2460331480470582E-2</v>
      </c>
      <c r="F145" s="4">
        <v>1167.8930414379129</v>
      </c>
      <c r="G145" s="4">
        <v>1178.8662773476212</v>
      </c>
      <c r="H145" s="60">
        <v>172</v>
      </c>
      <c r="I145" s="6">
        <v>1.7285380519950948E-3</v>
      </c>
      <c r="J145" s="6">
        <v>4.2462402261854056E-2</v>
      </c>
      <c r="K145" s="4">
        <v>613921833.93726635</v>
      </c>
      <c r="L145" s="16">
        <f t="shared" si="47"/>
        <v>1.2490042050670658E-2</v>
      </c>
      <c r="M145" s="4">
        <v>1168.1010277133182</v>
      </c>
      <c r="N145" s="4">
        <v>1179.0615183281695</v>
      </c>
      <c r="O145" s="60">
        <v>172</v>
      </c>
      <c r="P145" s="6">
        <v>1.7051477867706475E-4</v>
      </c>
      <c r="Q145" s="6">
        <v>4.2640157507654895E-2</v>
      </c>
      <c r="R145" s="78">
        <f>((K145-D145)/D145)</f>
        <v>1.7051477867692253E-4</v>
      </c>
      <c r="S145" s="78">
        <f>((N145-G145)/G145)</f>
        <v>1.6561758046687559E-4</v>
      </c>
      <c r="T145" s="78">
        <f>((O145-H145)/H145)</f>
        <v>0</v>
      </c>
      <c r="U145" s="78">
        <f>P145-I145</f>
        <v>-1.5580232733180301E-3</v>
      </c>
      <c r="V145" s="80">
        <f>Q145-J145</f>
        <v>1.7775524580083968E-4</v>
      </c>
    </row>
    <row r="146" spans="1:24">
      <c r="A146" s="149">
        <v>123</v>
      </c>
      <c r="B146" s="138" t="s">
        <v>154</v>
      </c>
      <c r="C146" s="139" t="s">
        <v>21</v>
      </c>
      <c r="D146" s="4">
        <v>6939062762.3199997</v>
      </c>
      <c r="E146" s="3">
        <f t="shared" si="46"/>
        <v>0.14086119864931362</v>
      </c>
      <c r="F146" s="4">
        <v>777.54309999999998</v>
      </c>
      <c r="G146" s="4">
        <v>800.98670000000004</v>
      </c>
      <c r="H146" s="60">
        <v>21289</v>
      </c>
      <c r="I146" s="6">
        <v>-0.2051</v>
      </c>
      <c r="J146" s="6">
        <v>0.32769999999999999</v>
      </c>
      <c r="K146" s="4">
        <v>6555630213.29</v>
      </c>
      <c r="L146" s="16">
        <f t="shared" si="47"/>
        <v>0.1333721860118858</v>
      </c>
      <c r="M146" s="4">
        <v>780.90060000000005</v>
      </c>
      <c r="N146" s="4">
        <v>804.44529999999997</v>
      </c>
      <c r="O146" s="60">
        <v>21293</v>
      </c>
      <c r="P146" s="6">
        <v>0.2258</v>
      </c>
      <c r="Q146" s="6">
        <v>0.32550000000000001</v>
      </c>
      <c r="R146" s="78">
        <f t="shared" ref="R146:R172" si="48">((K146-D146)/D146)</f>
        <v>-5.5257109232688832E-2</v>
      </c>
      <c r="S146" s="78">
        <f t="shared" ref="S146:S172" si="49">((N146-G146)/G146)</f>
        <v>4.3179243800177116E-3</v>
      </c>
      <c r="T146" s="78">
        <f t="shared" ref="T146:T172" si="50">((O146-H146)/H146)</f>
        <v>1.878904598619005E-4</v>
      </c>
      <c r="U146" s="78">
        <f t="shared" ref="U146:U172" si="51">P146-I146</f>
        <v>0.43090000000000001</v>
      </c>
      <c r="V146" s="80">
        <f t="shared" ref="V146:V172" si="52">Q146-J146</f>
        <v>-2.1999999999999797E-3</v>
      </c>
    </row>
    <row r="147" spans="1:24">
      <c r="A147" s="146">
        <v>124</v>
      </c>
      <c r="B147" s="138" t="s">
        <v>155</v>
      </c>
      <c r="C147" s="139" t="s">
        <v>91</v>
      </c>
      <c r="D147" s="4">
        <v>3623629074.5799999</v>
      </c>
      <c r="E147" s="3">
        <f t="shared" si="46"/>
        <v>7.3558743073709507E-2</v>
      </c>
      <c r="F147" s="4">
        <v>20.281300000000002</v>
      </c>
      <c r="G147" s="4">
        <v>20.517900000000001</v>
      </c>
      <c r="H147" s="58">
        <v>6242</v>
      </c>
      <c r="I147" s="5">
        <v>8.0000000000000002E-3</v>
      </c>
      <c r="J147" s="5">
        <v>9.9599999999999994E-2</v>
      </c>
      <c r="K147" s="4">
        <v>3621565481.75</v>
      </c>
      <c r="L147" s="16">
        <f t="shared" si="47"/>
        <v>7.3679583712178309E-2</v>
      </c>
      <c r="M147" s="4">
        <v>20.482700000000001</v>
      </c>
      <c r="N147" s="4">
        <v>20.723400000000002</v>
      </c>
      <c r="O147" s="58">
        <v>6238</v>
      </c>
      <c r="P147" s="5">
        <v>6.4000000000000003E-3</v>
      </c>
      <c r="Q147" s="5">
        <v>0.1105</v>
      </c>
      <c r="R147" s="78">
        <f t="shared" si="48"/>
        <v>-5.6948235802504327E-4</v>
      </c>
      <c r="S147" s="78">
        <f t="shared" si="49"/>
        <v>1.0015644875937629E-2</v>
      </c>
      <c r="T147" s="78">
        <f t="shared" si="50"/>
        <v>-6.4082024991989745E-4</v>
      </c>
      <c r="U147" s="78">
        <f t="shared" si="51"/>
        <v>-1.5999999999999999E-3</v>
      </c>
      <c r="V147" s="80">
        <f t="shared" si="52"/>
        <v>1.0900000000000007E-2</v>
      </c>
    </row>
    <row r="148" spans="1:24">
      <c r="A148" s="146">
        <v>125</v>
      </c>
      <c r="B148" s="138" t="s">
        <v>156</v>
      </c>
      <c r="C148" s="139" t="s">
        <v>101</v>
      </c>
      <c r="D148" s="2">
        <v>1545516002.3540831</v>
      </c>
      <c r="E148" s="3">
        <f t="shared" si="46"/>
        <v>3.1373579412690721E-2</v>
      </c>
      <c r="F148" s="4">
        <v>3.6364000000000001</v>
      </c>
      <c r="G148" s="4">
        <v>3.7259000000000002</v>
      </c>
      <c r="H148" s="58">
        <v>2750</v>
      </c>
      <c r="I148" s="5">
        <v>-0.14000000000000001</v>
      </c>
      <c r="J148" s="5">
        <v>0.3226</v>
      </c>
      <c r="K148" s="2">
        <v>1554844827.806468</v>
      </c>
      <c r="L148" s="16">
        <f t="shared" si="47"/>
        <v>3.1632817417526493E-2</v>
      </c>
      <c r="M148" s="4">
        <v>3.6589</v>
      </c>
      <c r="N148" s="4">
        <v>3.7494999999999998</v>
      </c>
      <c r="O148" s="58">
        <v>2750</v>
      </c>
      <c r="P148" s="5">
        <v>0.33119999999999999</v>
      </c>
      <c r="Q148" s="5">
        <v>0.32490000000000002</v>
      </c>
      <c r="R148" s="78">
        <f t="shared" si="48"/>
        <v>6.0360587908346239E-3</v>
      </c>
      <c r="S148" s="78">
        <f t="shared" si="49"/>
        <v>6.334040097694415E-3</v>
      </c>
      <c r="T148" s="78">
        <f t="shared" si="50"/>
        <v>0</v>
      </c>
      <c r="U148" s="78">
        <f t="shared" si="51"/>
        <v>0.47120000000000001</v>
      </c>
      <c r="V148" s="80">
        <f t="shared" si="52"/>
        <v>2.3000000000000242E-3</v>
      </c>
    </row>
    <row r="149" spans="1:24">
      <c r="A149" s="144">
        <v>126</v>
      </c>
      <c r="B149" s="138" t="s">
        <v>157</v>
      </c>
      <c r="C149" s="139" t="s">
        <v>56</v>
      </c>
      <c r="D149" s="4">
        <v>2890712407.1803799</v>
      </c>
      <c r="E149" s="3">
        <f t="shared" si="46"/>
        <v>5.8680722249258313E-2</v>
      </c>
      <c r="F149" s="4">
        <v>6413.3356393697504</v>
      </c>
      <c r="G149" s="4">
        <v>6457.5086094192502</v>
      </c>
      <c r="H149" s="58">
        <v>870</v>
      </c>
      <c r="I149" s="5">
        <v>-0.3450707646417131</v>
      </c>
      <c r="J149" s="5">
        <v>0.20401279984635726</v>
      </c>
      <c r="K149" s="4">
        <v>2772653678.9246001</v>
      </c>
      <c r="L149" s="16">
        <f t="shared" si="47"/>
        <v>5.6408746402809462E-2</v>
      </c>
      <c r="M149" s="4">
        <v>6475.9966826900099</v>
      </c>
      <c r="N149" s="4">
        <v>6526.5905550263597</v>
      </c>
      <c r="O149" s="58">
        <v>869</v>
      </c>
      <c r="P149" s="5">
        <v>0.51085388199171511</v>
      </c>
      <c r="Q149" s="5">
        <v>0.21662268219489145</v>
      </c>
      <c r="R149" s="78">
        <f t="shared" si="48"/>
        <v>-4.0840703475907174E-2</v>
      </c>
      <c r="S149" s="78">
        <f t="shared" si="49"/>
        <v>1.0697925436188039E-2</v>
      </c>
      <c r="T149" s="78">
        <f t="shared" si="50"/>
        <v>-1.1494252873563218E-3</v>
      </c>
      <c r="U149" s="78">
        <f t="shared" si="51"/>
        <v>0.85592464663342827</v>
      </c>
      <c r="V149" s="80">
        <f t="shared" si="52"/>
        <v>1.260988234853419E-2</v>
      </c>
    </row>
    <row r="150" spans="1:24">
      <c r="A150" s="149">
        <v>127</v>
      </c>
      <c r="B150" s="138" t="s">
        <v>158</v>
      </c>
      <c r="C150" s="139" t="s">
        <v>58</v>
      </c>
      <c r="D150" s="4">
        <v>689751426.46000004</v>
      </c>
      <c r="E150" s="3">
        <f t="shared" si="46"/>
        <v>1.400177747761794E-2</v>
      </c>
      <c r="F150" s="4">
        <v>171.42</v>
      </c>
      <c r="G150" s="4">
        <v>172.68</v>
      </c>
      <c r="H150" s="58">
        <v>672</v>
      </c>
      <c r="I150" s="5">
        <v>-7.6E-3</v>
      </c>
      <c r="J150" s="5">
        <v>0.1142</v>
      </c>
      <c r="K150" s="4">
        <v>701858430.12</v>
      </c>
      <c r="L150" s="16">
        <f t="shared" si="47"/>
        <v>1.4279083787582433E-2</v>
      </c>
      <c r="M150" s="4">
        <v>174.34</v>
      </c>
      <c r="N150" s="4">
        <v>175.65</v>
      </c>
      <c r="O150" s="58">
        <v>672</v>
      </c>
      <c r="P150" s="5">
        <v>1.7100000000000001E-2</v>
      </c>
      <c r="Q150" s="5">
        <v>0.13120000000000001</v>
      </c>
      <c r="R150" s="78">
        <f t="shared" si="48"/>
        <v>1.7552705504556249E-2</v>
      </c>
      <c r="S150" s="78">
        <f t="shared" si="49"/>
        <v>1.7199444058373863E-2</v>
      </c>
      <c r="T150" s="78">
        <f t="shared" si="50"/>
        <v>0</v>
      </c>
      <c r="U150" s="78">
        <f t="shared" si="51"/>
        <v>2.47E-2</v>
      </c>
      <c r="V150" s="80">
        <f t="shared" si="52"/>
        <v>1.7000000000000015E-2</v>
      </c>
    </row>
    <row r="151" spans="1:24">
      <c r="A151" s="81">
        <v>128</v>
      </c>
      <c r="B151" s="152" t="s">
        <v>159</v>
      </c>
      <c r="C151" s="153" t="s">
        <v>60</v>
      </c>
      <c r="D151" s="4">
        <v>3734808.11</v>
      </c>
      <c r="E151" s="3">
        <f t="shared" si="46"/>
        <v>7.5815649046512626E-5</v>
      </c>
      <c r="F151" s="4">
        <v>102.747</v>
      </c>
      <c r="G151" s="4">
        <v>102.99</v>
      </c>
      <c r="H151" s="58">
        <v>0</v>
      </c>
      <c r="I151" s="5">
        <v>0</v>
      </c>
      <c r="J151" s="5">
        <v>0</v>
      </c>
      <c r="K151" s="4">
        <v>3734808.11</v>
      </c>
      <c r="L151" s="16">
        <f t="shared" si="47"/>
        <v>7.5983468523865085E-5</v>
      </c>
      <c r="M151" s="4">
        <v>102.747</v>
      </c>
      <c r="N151" s="4">
        <v>102.99</v>
      </c>
      <c r="O151" s="58">
        <v>0</v>
      </c>
      <c r="P151" s="5">
        <v>0</v>
      </c>
      <c r="Q151" s="5">
        <v>0</v>
      </c>
      <c r="R151" s="78">
        <f t="shared" si="48"/>
        <v>0</v>
      </c>
      <c r="S151" s="78">
        <f t="shared" si="49"/>
        <v>0</v>
      </c>
      <c r="T151" s="78" t="e">
        <f t="shared" si="50"/>
        <v>#DIV/0!</v>
      </c>
      <c r="U151" s="78">
        <f t="shared" si="51"/>
        <v>0</v>
      </c>
      <c r="V151" s="80">
        <f t="shared" si="52"/>
        <v>0</v>
      </c>
    </row>
    <row r="152" spans="1:24">
      <c r="A152" s="140">
        <v>129</v>
      </c>
      <c r="B152" s="138" t="s">
        <v>160</v>
      </c>
      <c r="C152" s="139" t="s">
        <v>105</v>
      </c>
      <c r="D152" s="4">
        <v>192736312.66</v>
      </c>
      <c r="E152" s="3">
        <f t="shared" si="46"/>
        <v>3.9124978335632584E-3</v>
      </c>
      <c r="F152" s="4">
        <v>1.4642999999999999</v>
      </c>
      <c r="G152" s="4">
        <v>1.4765999999999999</v>
      </c>
      <c r="H152" s="58">
        <v>316</v>
      </c>
      <c r="I152" s="5">
        <v>-4.064489906516755E-3</v>
      </c>
      <c r="J152" s="5">
        <v>4.3035726484048631E-3</v>
      </c>
      <c r="K152" s="4">
        <v>194431619.58000001</v>
      </c>
      <c r="L152" s="16">
        <f t="shared" si="47"/>
        <v>3.9556487003561324E-3</v>
      </c>
      <c r="M152" s="4">
        <v>1.4722</v>
      </c>
      <c r="N152" s="4">
        <v>1.4844999999999999</v>
      </c>
      <c r="O152" s="58">
        <v>317</v>
      </c>
      <c r="P152" s="5">
        <v>5.3950693163968833E-3</v>
      </c>
      <c r="Q152" s="5">
        <v>5.6697861875811828E-3</v>
      </c>
      <c r="R152" s="78">
        <f t="shared" si="48"/>
        <v>8.7959912514807403E-3</v>
      </c>
      <c r="S152" s="78">
        <f t="shared" si="49"/>
        <v>5.3501286739807792E-3</v>
      </c>
      <c r="T152" s="78">
        <f t="shared" si="50"/>
        <v>3.1645569620253164E-3</v>
      </c>
      <c r="U152" s="78">
        <f t="shared" si="51"/>
        <v>9.4595592229136383E-3</v>
      </c>
      <c r="V152" s="80">
        <f t="shared" si="52"/>
        <v>1.3662135391763197E-3</v>
      </c>
    </row>
    <row r="153" spans="1:24">
      <c r="A153" s="144">
        <v>130</v>
      </c>
      <c r="B153" s="138" t="s">
        <v>161</v>
      </c>
      <c r="C153" s="139" t="s">
        <v>25</v>
      </c>
      <c r="D153" s="9">
        <v>129325328.73</v>
      </c>
      <c r="E153" s="3">
        <f t="shared" si="46"/>
        <v>2.6252710840928739E-3</v>
      </c>
      <c r="F153" s="4">
        <v>146.40450000000001</v>
      </c>
      <c r="G153" s="4">
        <v>146.99760000000001</v>
      </c>
      <c r="H153" s="58">
        <v>110</v>
      </c>
      <c r="I153" s="5">
        <v>9.3999999999999997E-4</v>
      </c>
      <c r="J153" s="5">
        <v>0.28549999999999998</v>
      </c>
      <c r="K153" s="9">
        <v>129915865.53</v>
      </c>
      <c r="L153" s="16">
        <f t="shared" si="47"/>
        <v>2.6430964559647605E-3</v>
      </c>
      <c r="M153" s="4">
        <v>147.2458</v>
      </c>
      <c r="N153" s="4">
        <v>147.84469999999999</v>
      </c>
      <c r="O153" s="58">
        <v>112</v>
      </c>
      <c r="P153" s="5">
        <v>1.062E-3</v>
      </c>
      <c r="Q153" s="5">
        <v>0.2918</v>
      </c>
      <c r="R153" s="78">
        <f t="shared" si="48"/>
        <v>4.5662887989474585E-3</v>
      </c>
      <c r="S153" s="78">
        <f t="shared" si="49"/>
        <v>5.7626791185705298E-3</v>
      </c>
      <c r="T153" s="78">
        <f t="shared" si="50"/>
        <v>1.8181818181818181E-2</v>
      </c>
      <c r="U153" s="78">
        <f t="shared" si="51"/>
        <v>1.2200000000000004E-4</v>
      </c>
      <c r="V153" s="80">
        <f t="shared" si="52"/>
        <v>6.3000000000000278E-3</v>
      </c>
    </row>
    <row r="154" spans="1:24">
      <c r="A154" s="81">
        <v>131</v>
      </c>
      <c r="B154" s="152" t="s">
        <v>162</v>
      </c>
      <c r="C154" s="153" t="s">
        <v>64</v>
      </c>
      <c r="D154" s="9">
        <v>201634897.37</v>
      </c>
      <c r="E154" s="3">
        <f t="shared" si="46"/>
        <v>4.0931368263879856E-3</v>
      </c>
      <c r="F154" s="4">
        <v>113.41</v>
      </c>
      <c r="G154" s="4">
        <v>113.48</v>
      </c>
      <c r="H154" s="58">
        <v>27</v>
      </c>
      <c r="I154" s="5">
        <v>0</v>
      </c>
      <c r="J154" s="5">
        <v>0.14080000000000001</v>
      </c>
      <c r="K154" s="9">
        <v>204904763.56999999</v>
      </c>
      <c r="L154" s="16">
        <f t="shared" si="47"/>
        <v>4.168721442856434E-3</v>
      </c>
      <c r="M154" s="4">
        <v>115.22</v>
      </c>
      <c r="N154" s="4">
        <v>115.42</v>
      </c>
      <c r="O154" s="58">
        <v>27</v>
      </c>
      <c r="P154" s="5">
        <v>2.0199999999999999E-2</v>
      </c>
      <c r="Q154" s="5">
        <v>0.161</v>
      </c>
      <c r="R154" s="78">
        <f t="shared" si="48"/>
        <v>1.6216767249370451E-2</v>
      </c>
      <c r="S154" s="78">
        <f t="shared" si="49"/>
        <v>1.7095523440253769E-2</v>
      </c>
      <c r="T154" s="78">
        <f t="shared" si="50"/>
        <v>0</v>
      </c>
      <c r="U154" s="78">
        <f t="shared" si="51"/>
        <v>2.0199999999999999E-2</v>
      </c>
      <c r="V154" s="80">
        <f t="shared" si="52"/>
        <v>2.0199999999999996E-2</v>
      </c>
    </row>
    <row r="155" spans="1:24" ht="15.75" customHeight="1">
      <c r="A155" s="151">
        <v>132</v>
      </c>
      <c r="B155" s="138" t="s">
        <v>163</v>
      </c>
      <c r="C155" s="139" t="s">
        <v>67</v>
      </c>
      <c r="D155" s="2">
        <v>331332198.02999997</v>
      </c>
      <c r="E155" s="3">
        <f t="shared" si="46"/>
        <v>6.725958845487272E-3</v>
      </c>
      <c r="F155" s="4">
        <v>1.2912999999999999</v>
      </c>
      <c r="G155" s="4">
        <v>1.2912999999999999</v>
      </c>
      <c r="H155" s="58">
        <v>107</v>
      </c>
      <c r="I155" s="5">
        <v>-1.0656436487638938E-3</v>
      </c>
      <c r="J155" s="5">
        <v>0.3333131231670603</v>
      </c>
      <c r="K155" s="2">
        <v>330890308.43000001</v>
      </c>
      <c r="L155" s="16">
        <f t="shared" si="47"/>
        <v>6.7318567902121531E-3</v>
      </c>
      <c r="M155" s="4">
        <v>1.2736000000000001</v>
      </c>
      <c r="N155" s="4">
        <v>1.2887999999999999</v>
      </c>
      <c r="O155" s="58">
        <v>107</v>
      </c>
      <c r="P155" s="5">
        <v>-1.9590941148812371E-3</v>
      </c>
      <c r="Q155" s="5">
        <v>0.32399454561952767</v>
      </c>
      <c r="R155" s="78">
        <f t="shared" si="48"/>
        <v>-1.3336753947467369E-3</v>
      </c>
      <c r="S155" s="78">
        <f t="shared" si="49"/>
        <v>-1.9360334546580553E-3</v>
      </c>
      <c r="T155" s="78">
        <f t="shared" si="50"/>
        <v>0</v>
      </c>
      <c r="U155" s="78">
        <f t="shared" si="51"/>
        <v>-8.9345046611734335E-4</v>
      </c>
      <c r="V155" s="80">
        <f t="shared" si="52"/>
        <v>-9.3185775475326249E-3</v>
      </c>
      <c r="X155" s="102"/>
    </row>
    <row r="156" spans="1:24">
      <c r="A156" s="146">
        <v>133</v>
      </c>
      <c r="B156" s="138" t="s">
        <v>164</v>
      </c>
      <c r="C156" s="139" t="s">
        <v>27</v>
      </c>
      <c r="D156" s="4">
        <v>8552528112.9399996</v>
      </c>
      <c r="E156" s="3">
        <f t="shared" si="46"/>
        <v>0.17361413244630977</v>
      </c>
      <c r="F156" s="4">
        <v>312.95999999999998</v>
      </c>
      <c r="G156" s="4">
        <v>315.04000000000002</v>
      </c>
      <c r="H156" s="58">
        <v>5496</v>
      </c>
      <c r="I156" s="5">
        <v>2E-3</v>
      </c>
      <c r="J156" s="5">
        <v>0.1573</v>
      </c>
      <c r="K156" s="4">
        <v>8603961804.4400005</v>
      </c>
      <c r="L156" s="16">
        <f t="shared" si="47"/>
        <v>0.17504483274462104</v>
      </c>
      <c r="M156" s="4">
        <v>315.72000000000003</v>
      </c>
      <c r="N156" s="4">
        <v>317.83</v>
      </c>
      <c r="O156" s="58">
        <v>6276</v>
      </c>
      <c r="P156" s="5">
        <v>8.8000000000000005E-3</v>
      </c>
      <c r="Q156" s="5">
        <v>0.16750000000000001</v>
      </c>
      <c r="R156" s="78">
        <f t="shared" si="48"/>
        <v>6.0138582207267619E-3</v>
      </c>
      <c r="S156" s="78">
        <f t="shared" si="49"/>
        <v>8.8560182833924694E-3</v>
      </c>
      <c r="T156" s="78">
        <f t="shared" si="50"/>
        <v>0.14192139737991266</v>
      </c>
      <c r="U156" s="78">
        <f t="shared" si="51"/>
        <v>6.8000000000000005E-3</v>
      </c>
      <c r="V156" s="80">
        <f t="shared" si="52"/>
        <v>1.0200000000000015E-2</v>
      </c>
    </row>
    <row r="157" spans="1:24">
      <c r="A157" s="146">
        <v>134</v>
      </c>
      <c r="B157" s="138" t="s">
        <v>165</v>
      </c>
      <c r="C157" s="139" t="s">
        <v>72</v>
      </c>
      <c r="D157" s="4">
        <v>2788495414.2399998</v>
      </c>
      <c r="E157" s="3">
        <f t="shared" si="46"/>
        <v>5.660574344576693E-2</v>
      </c>
      <c r="F157" s="4">
        <v>1.9522999999999999</v>
      </c>
      <c r="G157" s="4">
        <v>1.9850000000000001</v>
      </c>
      <c r="H157" s="58">
        <v>10310</v>
      </c>
      <c r="I157" s="5">
        <v>7.7000000000000002E-3</v>
      </c>
      <c r="J157" s="5">
        <v>0.1191</v>
      </c>
      <c r="K157" s="4">
        <v>2899468719.4299998</v>
      </c>
      <c r="L157" s="16">
        <f t="shared" si="47"/>
        <v>5.8988757572003024E-2</v>
      </c>
      <c r="M157" s="4">
        <v>2.0291000000000001</v>
      </c>
      <c r="N157" s="4">
        <v>2.0648</v>
      </c>
      <c r="O157" s="58">
        <v>10309</v>
      </c>
      <c r="P157" s="5">
        <v>3.3000000000000002E-2</v>
      </c>
      <c r="Q157" s="5">
        <v>0.1636</v>
      </c>
      <c r="R157" s="78">
        <f t="shared" si="48"/>
        <v>3.9796839766453644E-2</v>
      </c>
      <c r="S157" s="78">
        <f t="shared" si="49"/>
        <v>4.0201511335012527E-2</v>
      </c>
      <c r="T157" s="78">
        <f t="shared" si="50"/>
        <v>-9.699321047526673E-5</v>
      </c>
      <c r="U157" s="78">
        <f t="shared" si="51"/>
        <v>2.5300000000000003E-2</v>
      </c>
      <c r="V157" s="80">
        <f t="shared" si="52"/>
        <v>4.4499999999999998E-2</v>
      </c>
    </row>
    <row r="158" spans="1:24">
      <c r="A158" s="140">
        <v>135</v>
      </c>
      <c r="B158" s="138" t="s">
        <v>166</v>
      </c>
      <c r="C158" s="139" t="s">
        <v>74</v>
      </c>
      <c r="D158" s="4">
        <v>190558087.00775138</v>
      </c>
      <c r="E158" s="3">
        <f t="shared" si="46"/>
        <v>3.8682804101425427E-3</v>
      </c>
      <c r="F158" s="4">
        <v>247.94330551787047</v>
      </c>
      <c r="G158" s="4">
        <v>255.58090942154161</v>
      </c>
      <c r="H158" s="58">
        <v>39</v>
      </c>
      <c r="I158" s="5">
        <v>-4.0078026645006037E-2</v>
      </c>
      <c r="J158" s="5">
        <v>2.8762511313962159E-2</v>
      </c>
      <c r="K158" s="4">
        <v>189833793.50572369</v>
      </c>
      <c r="L158" s="16">
        <f t="shared" si="47"/>
        <v>3.8621074092098566E-3</v>
      </c>
      <c r="M158" s="4">
        <v>247.0008961566212</v>
      </c>
      <c r="N158" s="4">
        <v>255.58090942154161</v>
      </c>
      <c r="O158" s="58">
        <v>39</v>
      </c>
      <c r="P158" s="5">
        <v>-3.8009066600160901E-3</v>
      </c>
      <c r="Q158" s="5">
        <v>2.0734261566692735E-2</v>
      </c>
      <c r="R158" s="78">
        <f t="shared" si="48"/>
        <v>-3.800906660016104E-3</v>
      </c>
      <c r="S158" s="78">
        <f t="shared" si="49"/>
        <v>0</v>
      </c>
      <c r="T158" s="78">
        <f t="shared" si="50"/>
        <v>0</v>
      </c>
      <c r="U158" s="78">
        <f t="shared" si="51"/>
        <v>3.6277119984989947E-2</v>
      </c>
      <c r="V158" s="80">
        <f t="shared" si="52"/>
        <v>-8.0282497472694246E-3</v>
      </c>
    </row>
    <row r="159" spans="1:24">
      <c r="A159" s="149">
        <v>136</v>
      </c>
      <c r="B159" s="138" t="s">
        <v>275</v>
      </c>
      <c r="C159" s="138" t="s">
        <v>255</v>
      </c>
      <c r="D159" s="4">
        <v>50791658.439999998</v>
      </c>
      <c r="E159" s="3">
        <f t="shared" si="46"/>
        <v>1.0310576707988836E-3</v>
      </c>
      <c r="F159" s="4">
        <v>1.0069999999999999</v>
      </c>
      <c r="G159" s="4">
        <v>1.0069999999999999</v>
      </c>
      <c r="H159" s="58">
        <v>15</v>
      </c>
      <c r="I159" s="5">
        <v>0</v>
      </c>
      <c r="J159" s="5">
        <v>1.5800000000000002E-2</v>
      </c>
      <c r="K159" s="4">
        <v>50933807.229999997</v>
      </c>
      <c r="L159" s="16">
        <f t="shared" si="47"/>
        <v>1.0362319092375851E-3</v>
      </c>
      <c r="M159" s="4">
        <v>1.0089999999999999</v>
      </c>
      <c r="N159" s="4">
        <v>1.0089999999999999</v>
      </c>
      <c r="O159" s="58">
        <v>15</v>
      </c>
      <c r="P159" s="5">
        <v>1.9E-3</v>
      </c>
      <c r="Q159" s="5">
        <v>1.8599999999999998E-2</v>
      </c>
      <c r="R159" s="78">
        <f t="shared" ref="R159" si="53">((K159-D159)/D159)</f>
        <v>2.7986640792192078E-3</v>
      </c>
      <c r="S159" s="78">
        <f t="shared" ref="S159" si="54">((N159-G159)/G159)</f>
        <v>1.9860973187686218E-3</v>
      </c>
      <c r="T159" s="78">
        <f t="shared" ref="T159" si="55">((O159-H159)/H159)</f>
        <v>0</v>
      </c>
      <c r="U159" s="78">
        <f t="shared" ref="U159" si="56">P159-I159</f>
        <v>1.9E-3</v>
      </c>
      <c r="V159" s="80">
        <f t="shared" ref="V159" si="57">Q159-J159</f>
        <v>2.7999999999999969E-3</v>
      </c>
    </row>
    <row r="160" spans="1:24" ht="13.5" customHeight="1">
      <c r="A160" s="145">
        <v>137</v>
      </c>
      <c r="B160" s="138" t="s">
        <v>238</v>
      </c>
      <c r="C160" s="139" t="s">
        <v>32</v>
      </c>
      <c r="D160" s="2">
        <v>2710312480.6999998</v>
      </c>
      <c r="E160" s="3">
        <f t="shared" si="46"/>
        <v>5.5018649898758577E-2</v>
      </c>
      <c r="F160" s="4">
        <v>3.8282959999999999</v>
      </c>
      <c r="G160" s="4">
        <v>3.952804</v>
      </c>
      <c r="H160" s="58">
        <v>2321</v>
      </c>
      <c r="I160" s="5">
        <v>3.9362376700828872E-3</v>
      </c>
      <c r="J160" s="5">
        <v>5.2510378577516281E-2</v>
      </c>
      <c r="K160" s="2">
        <v>2714546917.1100001</v>
      </c>
      <c r="L160" s="16">
        <f t="shared" si="47"/>
        <v>5.5226583041981962E-2</v>
      </c>
      <c r="M160" s="4">
        <v>3.835105</v>
      </c>
      <c r="N160" s="4">
        <v>3.9620009999999999</v>
      </c>
      <c r="O160" s="58">
        <v>2322</v>
      </c>
      <c r="P160" s="5">
        <v>1.7785981021321007E-3</v>
      </c>
      <c r="Q160" s="5">
        <v>5.4382371539328567E-2</v>
      </c>
      <c r="R160" s="78">
        <f t="shared" si="48"/>
        <v>1.5623425122208363E-3</v>
      </c>
      <c r="S160" s="78">
        <f t="shared" si="49"/>
        <v>2.3267027659352449E-3</v>
      </c>
      <c r="T160" s="78">
        <f t="shared" si="50"/>
        <v>4.3084877208099956E-4</v>
      </c>
      <c r="U160" s="78">
        <f t="shared" si="51"/>
        <v>-2.1576395679507865E-3</v>
      </c>
      <c r="V160" s="80">
        <f>Q160-J160</f>
        <v>1.8719929618122855E-3</v>
      </c>
    </row>
    <row r="161" spans="1:22">
      <c r="A161" s="144">
        <v>138</v>
      </c>
      <c r="B161" s="138" t="s">
        <v>167</v>
      </c>
      <c r="C161" s="139" t="s">
        <v>114</v>
      </c>
      <c r="D161" s="2">
        <v>214065146.84999999</v>
      </c>
      <c r="E161" s="3">
        <f t="shared" si="46"/>
        <v>4.3454677104333983E-3</v>
      </c>
      <c r="F161" s="4">
        <v>183.37102999999999</v>
      </c>
      <c r="G161" s="4">
        <v>187.31957800000001</v>
      </c>
      <c r="H161" s="58">
        <v>139</v>
      </c>
      <c r="I161" s="5">
        <v>1.9699999999999999E-2</v>
      </c>
      <c r="J161" s="5">
        <v>4.65E-2</v>
      </c>
      <c r="K161" s="2">
        <v>217610165.83000001</v>
      </c>
      <c r="L161" s="16">
        <f t="shared" si="47"/>
        <v>4.4272087611528909E-3</v>
      </c>
      <c r="M161" s="4">
        <v>186.40773999999999</v>
      </c>
      <c r="N161" s="4">
        <v>190.441338</v>
      </c>
      <c r="O161" s="58">
        <v>139</v>
      </c>
      <c r="P161" s="5">
        <v>1.18E-2</v>
      </c>
      <c r="Q161" s="5">
        <v>2.8799999999999999E-2</v>
      </c>
      <c r="R161" s="78">
        <f t="shared" si="48"/>
        <v>1.6560467839652988E-2</v>
      </c>
      <c r="S161" s="78">
        <f t="shared" si="49"/>
        <v>1.6665422981040425E-2</v>
      </c>
      <c r="T161" s="78">
        <f t="shared" si="50"/>
        <v>0</v>
      </c>
      <c r="U161" s="78">
        <f t="shared" si="51"/>
        <v>-7.899999999999999E-3</v>
      </c>
      <c r="V161" s="80">
        <f t="shared" si="52"/>
        <v>-1.77E-2</v>
      </c>
    </row>
    <row r="162" spans="1:22">
      <c r="A162" s="81">
        <v>139</v>
      </c>
      <c r="B162" s="152" t="s">
        <v>168</v>
      </c>
      <c r="C162" s="153" t="s">
        <v>29</v>
      </c>
      <c r="D162" s="2">
        <v>1785120059.1600001</v>
      </c>
      <c r="E162" s="3">
        <f t="shared" si="46"/>
        <v>3.62374804608541E-2</v>
      </c>
      <c r="F162" s="4">
        <v>552.22</v>
      </c>
      <c r="G162" s="4">
        <v>552.22</v>
      </c>
      <c r="H162" s="58">
        <v>823</v>
      </c>
      <c r="I162" s="5">
        <v>1.9900000000000001E-2</v>
      </c>
      <c r="J162" s="5">
        <v>0.14180999999999999</v>
      </c>
      <c r="K162" s="2">
        <v>1788531742.9200001</v>
      </c>
      <c r="L162" s="16">
        <f t="shared" si="47"/>
        <v>3.6387102466716927E-2</v>
      </c>
      <c r="M162" s="4">
        <v>552.22</v>
      </c>
      <c r="N162" s="4">
        <v>552.22</v>
      </c>
      <c r="O162" s="58">
        <v>823</v>
      </c>
      <c r="P162" s="5">
        <v>1.9E-3</v>
      </c>
      <c r="Q162" s="5">
        <v>0.14408000000000001</v>
      </c>
      <c r="R162" s="78">
        <f t="shared" si="48"/>
        <v>1.911178882615537E-3</v>
      </c>
      <c r="S162" s="78">
        <f t="shared" si="49"/>
        <v>0</v>
      </c>
      <c r="T162" s="78">
        <f t="shared" si="50"/>
        <v>0</v>
      </c>
      <c r="U162" s="78">
        <f t="shared" si="51"/>
        <v>-1.8000000000000002E-2</v>
      </c>
      <c r="V162" s="80">
        <f t="shared" si="52"/>
        <v>2.270000000000022E-3</v>
      </c>
    </row>
    <row r="163" spans="1:22">
      <c r="A163" s="81">
        <v>140</v>
      </c>
      <c r="B163" s="152" t="s">
        <v>169</v>
      </c>
      <c r="C163" s="153" t="s">
        <v>80</v>
      </c>
      <c r="D163" s="4">
        <v>26587744.649999999</v>
      </c>
      <c r="E163" s="3">
        <f t="shared" si="46"/>
        <v>5.3972441366544359E-4</v>
      </c>
      <c r="F163" s="4">
        <v>1.68</v>
      </c>
      <c r="G163" s="4">
        <v>1.68</v>
      </c>
      <c r="H163" s="58">
        <v>8</v>
      </c>
      <c r="I163" s="5">
        <v>-4.6090000000000002E-3</v>
      </c>
      <c r="J163" s="117">
        <v>2.9508E-2</v>
      </c>
      <c r="K163" s="4">
        <v>26566667.620000001</v>
      </c>
      <c r="L163" s="16">
        <f t="shared" si="47"/>
        <v>5.4049029921600334E-4</v>
      </c>
      <c r="M163" s="4">
        <v>1.68</v>
      </c>
      <c r="N163" s="4">
        <v>1.68</v>
      </c>
      <c r="O163" s="58">
        <v>8</v>
      </c>
      <c r="P163" s="5">
        <v>-7.9299999999999998E-4</v>
      </c>
      <c r="Q163" s="117">
        <v>2.8691000000000001E-2</v>
      </c>
      <c r="R163" s="78">
        <f t="shared" si="48"/>
        <v>-7.9273478354236664E-4</v>
      </c>
      <c r="S163" s="78">
        <f t="shared" si="49"/>
        <v>0</v>
      </c>
      <c r="T163" s="78">
        <f t="shared" si="50"/>
        <v>0</v>
      </c>
      <c r="U163" s="78">
        <f t="shared" si="51"/>
        <v>3.8160000000000004E-3</v>
      </c>
      <c r="V163" s="80">
        <f t="shared" si="52"/>
        <v>-8.1699999999999828E-4</v>
      </c>
    </row>
    <row r="164" spans="1:22">
      <c r="A164" s="146">
        <v>141</v>
      </c>
      <c r="B164" s="138" t="s">
        <v>170</v>
      </c>
      <c r="C164" s="139" t="s">
        <v>38</v>
      </c>
      <c r="D164" s="4">
        <v>270150044.06999999</v>
      </c>
      <c r="E164" s="3">
        <f t="shared" si="46"/>
        <v>5.4839767741403558E-3</v>
      </c>
      <c r="F164" s="4">
        <v>2.7526820000000001</v>
      </c>
      <c r="G164" s="4">
        <v>2.7991220000000001</v>
      </c>
      <c r="H164" s="58">
        <v>118</v>
      </c>
      <c r="I164" s="5">
        <v>0.19109999999999999</v>
      </c>
      <c r="J164" s="5">
        <v>0.1842</v>
      </c>
      <c r="K164" s="4">
        <v>272932208.06</v>
      </c>
      <c r="L164" s="16">
        <f t="shared" si="47"/>
        <v>5.5527178986113984E-3</v>
      </c>
      <c r="M164" s="4">
        <v>2.7810609999999998</v>
      </c>
      <c r="N164" s="4">
        <v>2.8284940000000001</v>
      </c>
      <c r="O164" s="58">
        <v>118</v>
      </c>
      <c r="P164" s="5">
        <v>6.1999999999999998E-3</v>
      </c>
      <c r="Q164" s="5">
        <v>0.1966</v>
      </c>
      <c r="R164" s="78">
        <f t="shared" si="48"/>
        <v>1.0298587955362719E-2</v>
      </c>
      <c r="S164" s="78">
        <f t="shared" si="49"/>
        <v>1.049329039605989E-2</v>
      </c>
      <c r="T164" s="78">
        <f t="shared" si="50"/>
        <v>0</v>
      </c>
      <c r="U164" s="78">
        <f t="shared" si="51"/>
        <v>-0.18489999999999998</v>
      </c>
      <c r="V164" s="80">
        <f t="shared" si="52"/>
        <v>1.2399999999999994E-2</v>
      </c>
    </row>
    <row r="165" spans="1:22">
      <c r="A165" s="81">
        <v>142</v>
      </c>
      <c r="B165" s="152" t="s">
        <v>171</v>
      </c>
      <c r="C165" s="153" t="s">
        <v>42</v>
      </c>
      <c r="D165" s="2">
        <v>2722278890.25</v>
      </c>
      <c r="E165" s="3">
        <f t="shared" si="46"/>
        <v>5.526156495090289E-2</v>
      </c>
      <c r="F165" s="4">
        <v>5649.14</v>
      </c>
      <c r="G165" s="4">
        <v>5706.68</v>
      </c>
      <c r="H165" s="58">
        <v>2238</v>
      </c>
      <c r="I165" s="5">
        <v>-3.0999999999999999E-3</v>
      </c>
      <c r="J165" s="5">
        <v>0.13650000000000001</v>
      </c>
      <c r="K165" s="2">
        <v>2755956316.5500002</v>
      </c>
      <c r="L165" s="3">
        <f t="shared" si="47"/>
        <v>5.6069043941249265E-2</v>
      </c>
      <c r="M165" s="4">
        <v>5658.31</v>
      </c>
      <c r="N165" s="4">
        <v>5716.94</v>
      </c>
      <c r="O165" s="58">
        <v>2247</v>
      </c>
      <c r="P165" s="5">
        <v>-3.5000000000000001E-3</v>
      </c>
      <c r="Q165" s="5">
        <v>0.1386</v>
      </c>
      <c r="R165" s="78">
        <f t="shared" si="48"/>
        <v>1.237104193130904E-2</v>
      </c>
      <c r="S165" s="78">
        <f t="shared" si="49"/>
        <v>1.7978929955769919E-3</v>
      </c>
      <c r="T165" s="78">
        <f t="shared" si="50"/>
        <v>4.0214477211796247E-3</v>
      </c>
      <c r="U165" s="78">
        <f t="shared" si="51"/>
        <v>-4.0000000000000018E-4</v>
      </c>
      <c r="V165" s="80">
        <f t="shared" si="52"/>
        <v>2.0999999999999908E-3</v>
      </c>
    </row>
    <row r="166" spans="1:22">
      <c r="A166" s="144">
        <v>143</v>
      </c>
      <c r="B166" s="138" t="s">
        <v>273</v>
      </c>
      <c r="C166" s="138" t="s">
        <v>271</v>
      </c>
      <c r="D166" s="2">
        <v>79023023.920000002</v>
      </c>
      <c r="E166" s="3">
        <f t="shared" si="46"/>
        <v>1.6041471667771689E-3</v>
      </c>
      <c r="F166" s="4">
        <v>1043</v>
      </c>
      <c r="G166" s="4">
        <v>1057</v>
      </c>
      <c r="H166" s="58">
        <v>3</v>
      </c>
      <c r="I166" s="5">
        <v>1.9768516199942798E-3</v>
      </c>
      <c r="J166" s="5">
        <v>5.7000000000000002E-2</v>
      </c>
      <c r="K166" s="2">
        <v>79023023.920000002</v>
      </c>
      <c r="L166" s="3">
        <f t="shared" si="47"/>
        <v>1.6076979790766166E-3</v>
      </c>
      <c r="M166" s="4">
        <v>1050</v>
      </c>
      <c r="N166" s="4">
        <v>1064</v>
      </c>
      <c r="O166" s="58">
        <v>3</v>
      </c>
      <c r="P166" s="5">
        <v>6.1000000000000004E-3</v>
      </c>
      <c r="Q166" s="5">
        <v>6.3899999999999998E-2</v>
      </c>
      <c r="R166" s="78">
        <f>((K166-D166)/D166)</f>
        <v>0</v>
      </c>
      <c r="S166" s="78">
        <f>((N166-G166)/G166)</f>
        <v>6.6225165562913907E-3</v>
      </c>
      <c r="T166" s="78">
        <f t="shared" si="50"/>
        <v>0</v>
      </c>
      <c r="U166" s="78">
        <f>P166-I166</f>
        <v>4.1231483800057206E-3</v>
      </c>
      <c r="V166" s="80">
        <f>Q166-J166</f>
        <v>6.8999999999999964E-3</v>
      </c>
    </row>
    <row r="167" spans="1:22">
      <c r="A167" s="149">
        <v>144</v>
      </c>
      <c r="B167" s="138" t="s">
        <v>254</v>
      </c>
      <c r="C167" s="138" t="s">
        <v>255</v>
      </c>
      <c r="D167" s="2">
        <v>657145824.09000003</v>
      </c>
      <c r="E167" s="3">
        <f t="shared" si="46"/>
        <v>1.3339892091963131E-2</v>
      </c>
      <c r="F167" s="4">
        <v>1.2589999999999999</v>
      </c>
      <c r="G167" s="4">
        <v>1.2589999999999999</v>
      </c>
      <c r="H167" s="58">
        <v>39</v>
      </c>
      <c r="I167" s="5">
        <v>3.2000000000000002E-3</v>
      </c>
      <c r="J167" s="5">
        <v>0.19</v>
      </c>
      <c r="K167" s="2">
        <v>659002836.83000004</v>
      </c>
      <c r="L167" s="3">
        <f t="shared" si="47"/>
        <v>1.3407200540059368E-2</v>
      </c>
      <c r="M167" s="4">
        <v>1.262</v>
      </c>
      <c r="N167" s="4">
        <v>1.262</v>
      </c>
      <c r="O167" s="58">
        <v>39</v>
      </c>
      <c r="P167" s="5">
        <v>5.5999999999999999E-3</v>
      </c>
      <c r="Q167" s="5">
        <v>0.19</v>
      </c>
      <c r="R167" s="78">
        <f>((K167-D167)/D167)</f>
        <v>2.8258761935702121E-3</v>
      </c>
      <c r="S167" s="78">
        <f>((N167-G167)/G167)</f>
        <v>2.3828435266085098E-3</v>
      </c>
      <c r="T167" s="78">
        <f>((O167-H167)/H167)</f>
        <v>0</v>
      </c>
      <c r="U167" s="78">
        <f>P167-I167</f>
        <v>2.3999999999999998E-3</v>
      </c>
      <c r="V167" s="80">
        <f>Q167-J167</f>
        <v>0</v>
      </c>
    </row>
    <row r="168" spans="1:22">
      <c r="A168" s="81">
        <v>145</v>
      </c>
      <c r="B168" s="152" t="s">
        <v>172</v>
      </c>
      <c r="C168" s="153" t="s">
        <v>45</v>
      </c>
      <c r="D168" s="4">
        <v>1733386129.9000001</v>
      </c>
      <c r="E168" s="3">
        <f t="shared" si="46"/>
        <v>3.5187294933498245E-2</v>
      </c>
      <c r="F168" s="4">
        <v>1.6297999999999999</v>
      </c>
      <c r="G168" s="4">
        <v>1.639</v>
      </c>
      <c r="H168" s="58">
        <v>2111</v>
      </c>
      <c r="I168" s="5">
        <v>2.0000000000000001E-4</v>
      </c>
      <c r="J168" s="5">
        <v>7.4099999999999999E-2</v>
      </c>
      <c r="K168" s="4">
        <v>1743795775.26</v>
      </c>
      <c r="L168" s="16">
        <f t="shared" si="47"/>
        <v>3.5476963608049229E-2</v>
      </c>
      <c r="M168" s="4">
        <v>1.6395999999999999</v>
      </c>
      <c r="N168" s="4">
        <v>1.649</v>
      </c>
      <c r="O168" s="58">
        <v>2130</v>
      </c>
      <c r="P168" s="5">
        <v>6.0000000000000001E-3</v>
      </c>
      <c r="Q168" s="5">
        <v>7.9399999999999998E-2</v>
      </c>
      <c r="R168" s="78">
        <f t="shared" si="48"/>
        <v>6.0053817094985248E-3</v>
      </c>
      <c r="S168" s="78">
        <f t="shared" si="49"/>
        <v>6.1012812690665096E-3</v>
      </c>
      <c r="T168" s="78">
        <f t="shared" si="50"/>
        <v>9.0004737091425868E-3</v>
      </c>
      <c r="U168" s="78">
        <f t="shared" si="51"/>
        <v>5.8000000000000005E-3</v>
      </c>
      <c r="V168" s="80">
        <f t="shared" si="52"/>
        <v>5.2999999999999992E-3</v>
      </c>
    </row>
    <row r="169" spans="1:22">
      <c r="A169" s="81">
        <v>146</v>
      </c>
      <c r="B169" s="152" t="s">
        <v>173</v>
      </c>
      <c r="C169" s="153" t="s">
        <v>45</v>
      </c>
      <c r="D169" s="4">
        <v>1064559184.91</v>
      </c>
      <c r="E169" s="3">
        <f t="shared" si="46"/>
        <v>2.1610279075991966E-2</v>
      </c>
      <c r="F169" s="4">
        <v>1.3844000000000001</v>
      </c>
      <c r="G169" s="4">
        <v>1.3923000000000001</v>
      </c>
      <c r="H169" s="58">
        <v>693</v>
      </c>
      <c r="I169" s="5">
        <v>7.3000000000000001E-3</v>
      </c>
      <c r="J169" s="5">
        <v>0.1653</v>
      </c>
      <c r="K169" s="4">
        <v>1072692222.08</v>
      </c>
      <c r="L169" s="16">
        <f t="shared" si="47"/>
        <v>2.1823577889845212E-2</v>
      </c>
      <c r="M169" s="4">
        <v>1.395</v>
      </c>
      <c r="N169" s="4">
        <v>1.4031</v>
      </c>
      <c r="O169" s="58">
        <v>715</v>
      </c>
      <c r="P169" s="5">
        <v>7.6E-3</v>
      </c>
      <c r="Q169" s="5">
        <v>0.17269999999999999</v>
      </c>
      <c r="R169" s="78">
        <f t="shared" si="48"/>
        <v>7.6398168230427319E-3</v>
      </c>
      <c r="S169" s="78">
        <f t="shared" si="49"/>
        <v>7.7569489334194646E-3</v>
      </c>
      <c r="T169" s="78">
        <f t="shared" si="50"/>
        <v>3.1746031746031744E-2</v>
      </c>
      <c r="U169" s="78">
        <f t="shared" si="51"/>
        <v>2.9999999999999992E-4</v>
      </c>
      <c r="V169" s="80">
        <f t="shared" si="52"/>
        <v>7.3999999999999899E-3</v>
      </c>
    </row>
    <row r="170" spans="1:22">
      <c r="A170" s="140">
        <v>147</v>
      </c>
      <c r="B170" s="138" t="s">
        <v>174</v>
      </c>
      <c r="C170" s="139" t="s">
        <v>87</v>
      </c>
      <c r="D170" s="2">
        <v>8568684380.8400002</v>
      </c>
      <c r="E170" s="3">
        <f t="shared" si="46"/>
        <v>0.17394210055094364</v>
      </c>
      <c r="F170" s="4">
        <v>465.72</v>
      </c>
      <c r="G170" s="4">
        <v>470.51</v>
      </c>
      <c r="H170" s="58">
        <v>32</v>
      </c>
      <c r="I170" s="5">
        <v>-2.112E-2</v>
      </c>
      <c r="J170" s="5">
        <v>0.33805000000000002</v>
      </c>
      <c r="K170" s="2">
        <v>8701188265.4200001</v>
      </c>
      <c r="L170" s="16">
        <f t="shared" si="47"/>
        <v>0.17702287378983037</v>
      </c>
      <c r="M170" s="4">
        <v>472.94</v>
      </c>
      <c r="N170" s="4">
        <v>477.78</v>
      </c>
      <c r="O170" s="58">
        <v>32</v>
      </c>
      <c r="P170" s="5">
        <v>1.55E-2</v>
      </c>
      <c r="Q170" s="5">
        <v>0.35870000000000002</v>
      </c>
      <c r="R170" s="78">
        <f t="shared" si="48"/>
        <v>1.5463737335953829E-2</v>
      </c>
      <c r="S170" s="78">
        <f t="shared" si="49"/>
        <v>1.5451318781747428E-2</v>
      </c>
      <c r="T170" s="78">
        <f t="shared" si="50"/>
        <v>0</v>
      </c>
      <c r="U170" s="78">
        <f t="shared" si="51"/>
        <v>3.662E-2</v>
      </c>
      <c r="V170" s="80">
        <f t="shared" si="52"/>
        <v>2.0650000000000002E-2</v>
      </c>
    </row>
    <row r="171" spans="1:22">
      <c r="A171" s="81">
        <v>148</v>
      </c>
      <c r="B171" s="152" t="s">
        <v>175</v>
      </c>
      <c r="C171" s="153" t="s">
        <v>40</v>
      </c>
      <c r="D171" s="2">
        <v>446093103.36000001</v>
      </c>
      <c r="E171" s="3">
        <f t="shared" si="46"/>
        <v>9.055575861007607E-3</v>
      </c>
      <c r="F171" s="4">
        <v>231.52</v>
      </c>
      <c r="G171" s="4">
        <v>234.54</v>
      </c>
      <c r="H171" s="58">
        <v>690</v>
      </c>
      <c r="I171" s="5">
        <v>-1.4E-2</v>
      </c>
      <c r="J171" s="5">
        <v>0.20019999999999999</v>
      </c>
      <c r="K171" s="2">
        <v>450835636.67000002</v>
      </c>
      <c r="L171" s="16">
        <f t="shared" si="47"/>
        <v>9.1721058751668035E-3</v>
      </c>
      <c r="M171" s="4">
        <v>233.97</v>
      </c>
      <c r="N171" s="4">
        <v>237.04</v>
      </c>
      <c r="O171" s="58">
        <v>690</v>
      </c>
      <c r="P171" s="5">
        <v>5.0000000000000001E-3</v>
      </c>
      <c r="Q171" s="5">
        <v>0.21290000000000001</v>
      </c>
      <c r="R171" s="78">
        <f t="shared" si="48"/>
        <v>1.0631263461100288E-2</v>
      </c>
      <c r="S171" s="78">
        <f t="shared" si="49"/>
        <v>1.0659162616184872E-2</v>
      </c>
      <c r="T171" s="78">
        <f t="shared" si="50"/>
        <v>0</v>
      </c>
      <c r="U171" s="78">
        <f t="shared" si="51"/>
        <v>1.9E-2</v>
      </c>
      <c r="V171" s="80">
        <f t="shared" si="52"/>
        <v>1.2700000000000017E-2</v>
      </c>
    </row>
    <row r="172" spans="1:22">
      <c r="A172" s="81"/>
      <c r="B172" s="136"/>
      <c r="C172" s="69" t="s">
        <v>46</v>
      </c>
      <c r="D172" s="70">
        <f>SUM(D144:D171)</f>
        <v>49261704634.470764</v>
      </c>
      <c r="E172" s="97">
        <f>(D172/$D$198)</f>
        <v>1.5905434805939669E-2</v>
      </c>
      <c r="F172" s="30"/>
      <c r="G172" s="36"/>
      <c r="H172" s="63">
        <f>SUM(H144:H171)</f>
        <v>69463</v>
      </c>
      <c r="I172" s="37"/>
      <c r="J172" s="37"/>
      <c r="K172" s="70">
        <f>SUM(K144:K171)</f>
        <v>49152903684.924065</v>
      </c>
      <c r="L172" s="97">
        <f>(K172/$K$198)</f>
        <v>1.5545661261113284E-2</v>
      </c>
      <c r="M172" s="30"/>
      <c r="N172" s="36"/>
      <c r="O172" s="63">
        <f>SUM(O144:O171)</f>
        <v>70295</v>
      </c>
      <c r="P172" s="37"/>
      <c r="Q172" s="37"/>
      <c r="R172" s="78">
        <f t="shared" si="48"/>
        <v>-2.2086314380312029E-3</v>
      </c>
      <c r="S172" s="78" t="e">
        <f t="shared" si="49"/>
        <v>#DIV/0!</v>
      </c>
      <c r="T172" s="78">
        <f t="shared" si="50"/>
        <v>1.1977599585390783E-2</v>
      </c>
      <c r="U172" s="78">
        <f t="shared" si="51"/>
        <v>0</v>
      </c>
      <c r="V172" s="80">
        <f t="shared" si="52"/>
        <v>0</v>
      </c>
    </row>
    <row r="173" spans="1:22" ht="8.25" customHeight="1">
      <c r="A173" s="160"/>
      <c r="B173" s="160"/>
      <c r="C173" s="160"/>
      <c r="D173" s="160"/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</row>
    <row r="174" spans="1:22" ht="15" customHeight="1">
      <c r="A174" s="158" t="s">
        <v>176</v>
      </c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</row>
    <row r="175" spans="1:22">
      <c r="A175" s="149">
        <v>149</v>
      </c>
      <c r="B175" s="138" t="s">
        <v>177</v>
      </c>
      <c r="C175" s="139" t="s">
        <v>21</v>
      </c>
      <c r="D175" s="17">
        <v>945894444.94000006</v>
      </c>
      <c r="E175" s="3">
        <f>(D175/$D$178)</f>
        <v>0.18106033012107492</v>
      </c>
      <c r="F175" s="17">
        <v>65.442899999999995</v>
      </c>
      <c r="G175" s="17">
        <v>67.4161</v>
      </c>
      <c r="H175" s="60">
        <v>1569</v>
      </c>
      <c r="I175" s="6">
        <v>0.1074</v>
      </c>
      <c r="J175" s="6">
        <v>0.37769999999999998</v>
      </c>
      <c r="K175" s="17">
        <v>947381272.16999996</v>
      </c>
      <c r="L175" s="16">
        <f>(K175/$K$178)</f>
        <v>0.18059193160271761</v>
      </c>
      <c r="M175" s="17">
        <v>65.635099999999994</v>
      </c>
      <c r="N175" s="17">
        <v>67.614000000000004</v>
      </c>
      <c r="O175" s="60">
        <v>1569</v>
      </c>
      <c r="P175" s="6">
        <v>0.1535</v>
      </c>
      <c r="Q175" s="6">
        <v>0.37090000000000001</v>
      </c>
      <c r="R175" s="78">
        <f>((K175-D175)/D175)</f>
        <v>1.5718743650029706E-3</v>
      </c>
      <c r="S175" s="78">
        <f t="shared" ref="S175:T178" si="58">((N175-G175)/G175)</f>
        <v>2.9355005703386012E-3</v>
      </c>
      <c r="T175" s="78">
        <f t="shared" si="58"/>
        <v>0</v>
      </c>
      <c r="U175" s="78">
        <f t="shared" ref="U175:V178" si="59">P175-I175</f>
        <v>4.6100000000000002E-2</v>
      </c>
      <c r="V175" s="80">
        <f t="shared" si="59"/>
        <v>-6.7999999999999727E-3</v>
      </c>
    </row>
    <row r="176" spans="1:22">
      <c r="A176" s="146">
        <v>150</v>
      </c>
      <c r="B176" s="138" t="s">
        <v>178</v>
      </c>
      <c r="C176" s="139" t="s">
        <v>179</v>
      </c>
      <c r="D176" s="95">
        <v>861789933.05999994</v>
      </c>
      <c r="E176" s="3">
        <f>(D176/$D$178)</f>
        <v>0.16496129204433621</v>
      </c>
      <c r="F176" s="17">
        <v>24.2089</v>
      </c>
      <c r="G176" s="17">
        <v>24.424900000000001</v>
      </c>
      <c r="H176" s="58">
        <v>1494</v>
      </c>
      <c r="I176" s="5">
        <v>1.3299999999999999E-2</v>
      </c>
      <c r="J176" s="5">
        <v>0.1109</v>
      </c>
      <c r="K176" s="95">
        <v>868023688.04999995</v>
      </c>
      <c r="L176" s="16">
        <f>(K176/$K$178)</f>
        <v>0.16546461187986761</v>
      </c>
      <c r="M176" s="17">
        <v>24.789400000000001</v>
      </c>
      <c r="N176" s="17">
        <v>25.017499999999998</v>
      </c>
      <c r="O176" s="58">
        <v>1494</v>
      </c>
      <c r="P176" s="5">
        <v>1.18E-2</v>
      </c>
      <c r="Q176" s="5">
        <v>0.1376</v>
      </c>
      <c r="R176" s="78">
        <f>((K176-D176)/D176)</f>
        <v>7.2334971097486704E-3</v>
      </c>
      <c r="S176" s="78">
        <f t="shared" si="58"/>
        <v>2.4262125945244292E-2</v>
      </c>
      <c r="T176" s="78">
        <f t="shared" si="58"/>
        <v>0</v>
      </c>
      <c r="U176" s="78">
        <f t="shared" si="59"/>
        <v>-1.4999999999999996E-3</v>
      </c>
      <c r="V176" s="80">
        <f t="shared" si="59"/>
        <v>2.6700000000000002E-2</v>
      </c>
    </row>
    <row r="177" spans="1:24">
      <c r="A177" s="81">
        <v>151</v>
      </c>
      <c r="B177" s="152" t="s">
        <v>180</v>
      </c>
      <c r="C177" s="153" t="s">
        <v>42</v>
      </c>
      <c r="D177" s="9">
        <v>3416510476.3200002</v>
      </c>
      <c r="E177" s="3">
        <f>(D177/$D$178)</f>
        <v>0.65397837783458901</v>
      </c>
      <c r="F177" s="17">
        <v>2.46</v>
      </c>
      <c r="G177" s="17">
        <v>2.4900000000000002</v>
      </c>
      <c r="H177" s="58">
        <v>10101</v>
      </c>
      <c r="I177" s="5">
        <v>0</v>
      </c>
      <c r="J177" s="5">
        <v>0.1971</v>
      </c>
      <c r="K177" s="9">
        <v>3430572884.7600002</v>
      </c>
      <c r="L177" s="16">
        <f>(K177/$K$178)</f>
        <v>0.65394345651741492</v>
      </c>
      <c r="M177" s="17">
        <v>2.4700000000000002</v>
      </c>
      <c r="N177" s="17">
        <v>2.5</v>
      </c>
      <c r="O177" s="58">
        <v>10105</v>
      </c>
      <c r="P177" s="5">
        <v>0</v>
      </c>
      <c r="Q177" s="5">
        <v>0.2019</v>
      </c>
      <c r="R177" s="78">
        <f>((K177-D177)/D177)</f>
        <v>4.1160150210184611E-3</v>
      </c>
      <c r="S177" s="78">
        <f t="shared" si="58"/>
        <v>4.0160642570280262E-3</v>
      </c>
      <c r="T177" s="78">
        <f t="shared" si="58"/>
        <v>3.9600039600039602E-4</v>
      </c>
      <c r="U177" s="78">
        <f t="shared" si="59"/>
        <v>0</v>
      </c>
      <c r="V177" s="80">
        <f t="shared" si="59"/>
        <v>4.7999999999999987E-3</v>
      </c>
    </row>
    <row r="178" spans="1:24">
      <c r="A178" s="72"/>
      <c r="B178" s="136"/>
      <c r="C178" s="64" t="s">
        <v>46</v>
      </c>
      <c r="D178" s="70">
        <f>SUM(D175:D177)</f>
        <v>5224194854.3199997</v>
      </c>
      <c r="E178" s="97">
        <f>(D178/$D$198)</f>
        <v>1.6867684804144608E-3</v>
      </c>
      <c r="F178" s="30"/>
      <c r="G178" s="36"/>
      <c r="H178" s="63">
        <f>SUM(H175:H177)</f>
        <v>13164</v>
      </c>
      <c r="I178" s="37"/>
      <c r="J178" s="37"/>
      <c r="K178" s="70">
        <f>SUM(K175:K177)</f>
        <v>5245977844.9799995</v>
      </c>
      <c r="L178" s="97">
        <f>(K178/$K$198)</f>
        <v>1.6591531414730523E-3</v>
      </c>
      <c r="M178" s="30"/>
      <c r="N178" s="36"/>
      <c r="O178" s="63">
        <f>SUM(O175:O177)</f>
        <v>13168</v>
      </c>
      <c r="P178" s="37"/>
      <c r="Q178" s="37"/>
      <c r="R178" s="78">
        <f>((K178-D178)/D178)</f>
        <v>4.1696359472478371E-3</v>
      </c>
      <c r="S178" s="78" t="e">
        <f t="shared" si="58"/>
        <v>#DIV/0!</v>
      </c>
      <c r="T178" s="78">
        <f t="shared" si="58"/>
        <v>3.0385900941962927E-4</v>
      </c>
      <c r="U178" s="78">
        <f t="shared" si="59"/>
        <v>0</v>
      </c>
      <c r="V178" s="80">
        <f t="shared" si="59"/>
        <v>0</v>
      </c>
    </row>
    <row r="179" spans="1:24" ht="6" customHeight="1">
      <c r="A179" s="160"/>
      <c r="B179" s="160"/>
      <c r="C179" s="160"/>
      <c r="D179" s="160"/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</row>
    <row r="180" spans="1:24" ht="15" customHeight="1">
      <c r="A180" s="158" t="s">
        <v>181</v>
      </c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</row>
    <row r="181" spans="1:24">
      <c r="A181" s="159" t="s">
        <v>230</v>
      </c>
      <c r="B181" s="159"/>
      <c r="C181" s="159"/>
      <c r="D181" s="159"/>
      <c r="E181" s="159"/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</row>
    <row r="182" spans="1:24">
      <c r="A182" s="146">
        <v>152</v>
      </c>
      <c r="B182" s="138" t="s">
        <v>182</v>
      </c>
      <c r="C182" s="139" t="s">
        <v>183</v>
      </c>
      <c r="D182" s="13">
        <v>4228952946.48</v>
      </c>
      <c r="E182" s="3">
        <f>(D182/$D$197)</f>
        <v>8.5357630664986917E-2</v>
      </c>
      <c r="F182" s="18">
        <v>2</v>
      </c>
      <c r="G182" s="18">
        <v>2.0299999999999998</v>
      </c>
      <c r="H182" s="59">
        <v>14997</v>
      </c>
      <c r="I182" s="12">
        <v>8.9999999999999998E-4</v>
      </c>
      <c r="J182" s="12">
        <v>0.10349999999999999</v>
      </c>
      <c r="K182" s="13">
        <v>4242792043.4000001</v>
      </c>
      <c r="L182" s="3">
        <f>(K182/$K$197)</f>
        <v>8.5375650438331258E-2</v>
      </c>
      <c r="M182" s="18">
        <v>2</v>
      </c>
      <c r="N182" s="18">
        <v>2.04</v>
      </c>
      <c r="O182" s="59">
        <v>14999</v>
      </c>
      <c r="P182" s="12">
        <v>2.0999999999999999E-3</v>
      </c>
      <c r="Q182" s="12">
        <v>0.10580000000000001</v>
      </c>
      <c r="R182" s="78">
        <f>((K182-D182)/D182)</f>
        <v>3.2724641525082821E-3</v>
      </c>
      <c r="S182" s="78">
        <f>((N182-G182)/G182)</f>
        <v>4.926108374384351E-3</v>
      </c>
      <c r="T182" s="78">
        <f>((O182-H182)/H182)</f>
        <v>1.3336000533440022E-4</v>
      </c>
      <c r="U182" s="78">
        <f>P182-I182</f>
        <v>1.1999999999999999E-3</v>
      </c>
      <c r="V182" s="80">
        <f>Q182-J182</f>
        <v>2.3000000000000104E-3</v>
      </c>
    </row>
    <row r="183" spans="1:24">
      <c r="A183" s="81">
        <v>153</v>
      </c>
      <c r="B183" s="152" t="s">
        <v>184</v>
      </c>
      <c r="C183" s="153" t="s">
        <v>42</v>
      </c>
      <c r="D183" s="13">
        <v>663112095.55999994</v>
      </c>
      <c r="E183" s="3">
        <f>(D183/$D$197)</f>
        <v>1.3384324218931973E-2</v>
      </c>
      <c r="F183" s="18">
        <v>439.21</v>
      </c>
      <c r="G183" s="18">
        <v>444.99</v>
      </c>
      <c r="H183" s="59">
        <v>836</v>
      </c>
      <c r="I183" s="12">
        <v>6.0000000000000001E-3</v>
      </c>
      <c r="J183" s="12">
        <v>0.1653</v>
      </c>
      <c r="K183" s="13">
        <v>667513669.39999998</v>
      </c>
      <c r="L183" s="3">
        <f>(K183/$K$197)</f>
        <v>1.343205443928221E-2</v>
      </c>
      <c r="M183" s="18">
        <v>442.44</v>
      </c>
      <c r="N183" s="18">
        <v>448.28</v>
      </c>
      <c r="O183" s="59">
        <v>839</v>
      </c>
      <c r="P183" s="12">
        <v>1.3899999999999999E-2</v>
      </c>
      <c r="Q183" s="12">
        <v>0.1739</v>
      </c>
      <c r="R183" s="78">
        <f>((K183-D183)/D183)</f>
        <v>6.63775230382865E-3</v>
      </c>
      <c r="S183" s="78">
        <f>((N183-G183)/G183)</f>
        <v>7.3934245713385997E-3</v>
      </c>
      <c r="T183" s="78">
        <f>((O183-H183)/H183)</f>
        <v>3.5885167464114833E-3</v>
      </c>
      <c r="U183" s="78">
        <f>P183-I183</f>
        <v>7.899999999999999E-3</v>
      </c>
      <c r="V183" s="80">
        <f>Q183-J183</f>
        <v>8.5999999999999965E-3</v>
      </c>
    </row>
    <row r="184" spans="1:24" ht="6" customHeight="1">
      <c r="A184" s="160"/>
      <c r="B184" s="160"/>
      <c r="C184" s="160"/>
      <c r="D184" s="160"/>
      <c r="E184" s="160"/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0"/>
      <c r="Q184" s="160"/>
      <c r="R184" s="160"/>
      <c r="S184" s="160"/>
      <c r="T184" s="160"/>
      <c r="U184" s="160"/>
      <c r="V184" s="160"/>
    </row>
    <row r="185" spans="1:24" ht="15" customHeight="1">
      <c r="A185" s="159" t="s">
        <v>229</v>
      </c>
      <c r="B185" s="159"/>
      <c r="C185" s="159"/>
      <c r="D185" s="159"/>
      <c r="E185" s="159"/>
      <c r="F185" s="159"/>
      <c r="G185" s="159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9"/>
    </row>
    <row r="186" spans="1:24">
      <c r="A186" s="81">
        <v>154</v>
      </c>
      <c r="B186" s="152" t="s">
        <v>185</v>
      </c>
      <c r="C186" s="153" t="s">
        <v>186</v>
      </c>
      <c r="D186" s="2">
        <v>407194368.00999999</v>
      </c>
      <c r="E186" s="3">
        <f t="shared" ref="E186:E196" si="60">(D186/$D$197)</f>
        <v>8.2188539133287615E-3</v>
      </c>
      <c r="F186" s="2">
        <v>1049.57</v>
      </c>
      <c r="G186" s="2">
        <v>1049.57</v>
      </c>
      <c r="H186" s="58">
        <v>21</v>
      </c>
      <c r="I186" s="5">
        <v>1.6000000000000001E-3</v>
      </c>
      <c r="J186" s="5">
        <v>6.4399999999999999E-2</v>
      </c>
      <c r="K186" s="2">
        <v>406472976.56</v>
      </c>
      <c r="L186" s="3">
        <f t="shared" ref="L186:L196" si="61">(K186/$K$197)</f>
        <v>8.1792589418559145E-3</v>
      </c>
      <c r="M186" s="2">
        <v>1047.71</v>
      </c>
      <c r="N186" s="2">
        <v>1047.71</v>
      </c>
      <c r="O186" s="58">
        <v>21</v>
      </c>
      <c r="P186" s="5">
        <v>-1.2999999999999999E-3</v>
      </c>
      <c r="Q186" s="5">
        <v>6.3100000000000003E-2</v>
      </c>
      <c r="R186" s="78">
        <f>((K186-D186)/D186)</f>
        <v>-1.7716145081414091E-3</v>
      </c>
      <c r="S186" s="78">
        <f>((N186-G186)/G186)</f>
        <v>-1.7721543108129045E-3</v>
      </c>
      <c r="T186" s="78">
        <f>((O186-H186)/H186)</f>
        <v>0</v>
      </c>
      <c r="U186" s="78">
        <f>P186-I186</f>
        <v>-2.8999999999999998E-3</v>
      </c>
      <c r="V186" s="80">
        <f>Q186-J186</f>
        <v>-1.2999999999999956E-3</v>
      </c>
      <c r="X186" s="68"/>
    </row>
    <row r="187" spans="1:24">
      <c r="A187" s="149">
        <v>155</v>
      </c>
      <c r="B187" s="138" t="s">
        <v>187</v>
      </c>
      <c r="C187" s="139" t="s">
        <v>58</v>
      </c>
      <c r="D187" s="2">
        <v>125262814.39</v>
      </c>
      <c r="E187" s="3">
        <f t="shared" si="60"/>
        <v>2.5283178087044237E-3</v>
      </c>
      <c r="F187" s="17">
        <v>112.85</v>
      </c>
      <c r="G187" s="17">
        <v>112.85</v>
      </c>
      <c r="H187" s="58">
        <v>73</v>
      </c>
      <c r="I187" s="5">
        <v>2.5000000000000001E-3</v>
      </c>
      <c r="J187" s="5">
        <v>0.1477</v>
      </c>
      <c r="K187" s="2">
        <v>125650968.84</v>
      </c>
      <c r="L187" s="3">
        <f t="shared" si="61"/>
        <v>2.5284136208393771E-3</v>
      </c>
      <c r="M187" s="17">
        <v>113.16</v>
      </c>
      <c r="N187" s="17">
        <v>113.16</v>
      </c>
      <c r="O187" s="58">
        <v>73</v>
      </c>
      <c r="P187" s="5">
        <v>2.7000000000000001E-3</v>
      </c>
      <c r="Q187" s="5">
        <v>0.1477</v>
      </c>
      <c r="R187" s="78">
        <f t="shared" ref="R187:R198" si="62">((K187-D187)/D187)</f>
        <v>3.0987204933101854E-3</v>
      </c>
      <c r="S187" s="78">
        <f t="shared" ref="S187:S197" si="63">((N187-G187)/G187)</f>
        <v>2.7470093043863737E-3</v>
      </c>
      <c r="T187" s="78">
        <f t="shared" ref="T187:T197" si="64">((O187-H187)/H187)</f>
        <v>0</v>
      </c>
      <c r="U187" s="78">
        <f t="shared" ref="U187:U197" si="65">P187-I187</f>
        <v>2.0000000000000009E-4</v>
      </c>
      <c r="V187" s="80">
        <f t="shared" ref="V187:V197" si="66">Q187-J187</f>
        <v>0</v>
      </c>
    </row>
    <row r="188" spans="1:24">
      <c r="A188" s="81">
        <v>156</v>
      </c>
      <c r="B188" s="154" t="s">
        <v>188</v>
      </c>
      <c r="C188" s="153" t="s">
        <v>64</v>
      </c>
      <c r="D188" s="9">
        <v>57846240.100000001</v>
      </c>
      <c r="E188" s="3">
        <f t="shared" si="60"/>
        <v>1.1675745888645602E-3</v>
      </c>
      <c r="F188" s="17">
        <v>103.32</v>
      </c>
      <c r="G188" s="17">
        <v>105.69</v>
      </c>
      <c r="H188" s="58">
        <v>13</v>
      </c>
      <c r="I188" s="5">
        <v>8.9999999999999998E-4</v>
      </c>
      <c r="J188" s="5">
        <v>8.1100000000000005E-2</v>
      </c>
      <c r="K188" s="9">
        <v>57934388.850000001</v>
      </c>
      <c r="L188" s="3">
        <f t="shared" si="61"/>
        <v>1.1657856619463924E-3</v>
      </c>
      <c r="M188" s="17">
        <v>103.48</v>
      </c>
      <c r="N188" s="17">
        <v>105.97</v>
      </c>
      <c r="O188" s="58">
        <v>13</v>
      </c>
      <c r="P188" s="5">
        <v>5.1999999999999998E-3</v>
      </c>
      <c r="Q188" s="5">
        <v>8.6300000000000002E-2</v>
      </c>
      <c r="R188" s="78">
        <f t="shared" si="62"/>
        <v>1.5238457996166288E-3</v>
      </c>
      <c r="S188" s="78">
        <f t="shared" si="63"/>
        <v>2.6492572618033979E-3</v>
      </c>
      <c r="T188" s="78">
        <f t="shared" si="64"/>
        <v>0</v>
      </c>
      <c r="U188" s="78">
        <f t="shared" si="65"/>
        <v>4.3E-3</v>
      </c>
      <c r="V188" s="80">
        <f t="shared" si="66"/>
        <v>5.1999999999999963E-3</v>
      </c>
    </row>
    <row r="189" spans="1:24">
      <c r="A189" s="146">
        <v>157</v>
      </c>
      <c r="B189" s="138" t="s">
        <v>189</v>
      </c>
      <c r="C189" s="139" t="s">
        <v>27</v>
      </c>
      <c r="D189" s="2">
        <v>9335082596.3299999</v>
      </c>
      <c r="E189" s="3">
        <f t="shared" si="60"/>
        <v>0.188420288087604</v>
      </c>
      <c r="F189" s="17">
        <v>143.94</v>
      </c>
      <c r="G189" s="17">
        <v>143.94</v>
      </c>
      <c r="H189" s="58">
        <v>688</v>
      </c>
      <c r="I189" s="5">
        <v>3.0999999999999999E-3</v>
      </c>
      <c r="J189" s="5">
        <v>7.6499999999999999E-2</v>
      </c>
      <c r="K189" s="2">
        <v>9356287646.6800003</v>
      </c>
      <c r="L189" s="3">
        <f t="shared" si="61"/>
        <v>0.18827204712190035</v>
      </c>
      <c r="M189" s="17">
        <v>144.37</v>
      </c>
      <c r="N189" s="17">
        <v>144.37</v>
      </c>
      <c r="O189" s="58">
        <v>694</v>
      </c>
      <c r="P189" s="5">
        <v>3.0000000000000001E-3</v>
      </c>
      <c r="Q189" s="5">
        <v>7.9699999999999993E-2</v>
      </c>
      <c r="R189" s="78">
        <f t="shared" si="62"/>
        <v>2.2715439452391079E-3</v>
      </c>
      <c r="S189" s="78">
        <f t="shared" si="63"/>
        <v>2.9873558427122885E-3</v>
      </c>
      <c r="T189" s="78">
        <f t="shared" si="64"/>
        <v>8.7209302325581394E-3</v>
      </c>
      <c r="U189" s="78">
        <f t="shared" si="65"/>
        <v>-9.9999999999999829E-5</v>
      </c>
      <c r="V189" s="80">
        <f t="shared" si="66"/>
        <v>3.1999999999999945E-3</v>
      </c>
    </row>
    <row r="190" spans="1:24">
      <c r="A190" s="144">
        <v>158</v>
      </c>
      <c r="B190" s="138" t="s">
        <v>247</v>
      </c>
      <c r="C190" s="139" t="s">
        <v>56</v>
      </c>
      <c r="D190" s="2">
        <v>300032564.95351499</v>
      </c>
      <c r="E190" s="3">
        <f t="shared" si="60"/>
        <v>6.0558888194978764E-3</v>
      </c>
      <c r="F190" s="17">
        <v>1101.2551296118099</v>
      </c>
      <c r="G190" s="17">
        <v>1101.2551296118099</v>
      </c>
      <c r="H190" s="58">
        <v>85</v>
      </c>
      <c r="I190" s="5">
        <v>0.14812571939452804</v>
      </c>
      <c r="J190" s="5">
        <v>0.13188121666981964</v>
      </c>
      <c r="K190" s="2">
        <v>300193640.32713997</v>
      </c>
      <c r="L190" s="3">
        <f t="shared" si="61"/>
        <v>6.0406513065490311E-3</v>
      </c>
      <c r="M190" s="17">
        <v>1103.9968765006399</v>
      </c>
      <c r="N190" s="17">
        <v>1103.9968765006399</v>
      </c>
      <c r="O190" s="58">
        <v>85</v>
      </c>
      <c r="P190" s="5">
        <v>0.13017346354939854</v>
      </c>
      <c r="Q190" s="5">
        <v>0.13213864690793731</v>
      </c>
      <c r="R190" s="78">
        <f t="shared" si="62"/>
        <v>5.3685963605296105E-4</v>
      </c>
      <c r="S190" s="78">
        <f t="shared" si="63"/>
        <v>2.4896564066824857E-3</v>
      </c>
      <c r="T190" s="78">
        <f t="shared" si="64"/>
        <v>0</v>
      </c>
      <c r="U190" s="78">
        <f t="shared" si="65"/>
        <v>-1.7952255845129494E-2</v>
      </c>
      <c r="V190" s="80">
        <f t="shared" si="66"/>
        <v>2.5743023811766741E-4</v>
      </c>
    </row>
    <row r="191" spans="1:24">
      <c r="A191" s="146">
        <v>159</v>
      </c>
      <c r="B191" s="138" t="s">
        <v>190</v>
      </c>
      <c r="C191" s="139" t="s">
        <v>183</v>
      </c>
      <c r="D191" s="2">
        <v>22095025150.150002</v>
      </c>
      <c r="E191" s="3">
        <f t="shared" si="60"/>
        <v>0.44596830945350419</v>
      </c>
      <c r="F191" s="7">
        <v>1209.2</v>
      </c>
      <c r="G191" s="7">
        <v>1209.2</v>
      </c>
      <c r="H191" s="58">
        <v>8749</v>
      </c>
      <c r="I191" s="5">
        <v>3.0999999999999999E-3</v>
      </c>
      <c r="J191" s="5">
        <v>7.7600000000000002E-2</v>
      </c>
      <c r="K191" s="2">
        <v>22216001692.23</v>
      </c>
      <c r="L191" s="3">
        <f t="shared" si="61"/>
        <v>0.4470418477294168</v>
      </c>
      <c r="M191" s="7">
        <v>1212.3599999999999</v>
      </c>
      <c r="N191" s="7">
        <v>1212.3599999999999</v>
      </c>
      <c r="O191" s="58">
        <v>8780</v>
      </c>
      <c r="P191" s="5">
        <v>2.5999999999999999E-3</v>
      </c>
      <c r="Q191" s="5">
        <v>8.0199999999999994E-2</v>
      </c>
      <c r="R191" s="78">
        <f t="shared" si="62"/>
        <v>5.4752841989490434E-3</v>
      </c>
      <c r="S191" s="78">
        <f t="shared" si="63"/>
        <v>2.6132980482962737E-3</v>
      </c>
      <c r="T191" s="78">
        <f t="shared" si="64"/>
        <v>3.5432620870956681E-3</v>
      </c>
      <c r="U191" s="78">
        <f t="shared" si="65"/>
        <v>-5.0000000000000001E-4</v>
      </c>
      <c r="V191" s="80">
        <f t="shared" si="66"/>
        <v>2.5999999999999912E-3</v>
      </c>
    </row>
    <row r="192" spans="1:24">
      <c r="A192" s="144">
        <v>160</v>
      </c>
      <c r="B192" s="138" t="s">
        <v>194</v>
      </c>
      <c r="C192" s="139" t="s">
        <v>195</v>
      </c>
      <c r="D192" s="2">
        <v>375129640.38</v>
      </c>
      <c r="E192" s="3">
        <f t="shared" si="60"/>
        <v>7.571656081370599E-3</v>
      </c>
      <c r="F192" s="18">
        <v>121.1326</v>
      </c>
      <c r="G192" s="18">
        <v>121.828</v>
      </c>
      <c r="H192" s="59">
        <v>168</v>
      </c>
      <c r="I192" s="5">
        <v>2.029E-3</v>
      </c>
      <c r="J192" s="5">
        <v>0.2238</v>
      </c>
      <c r="K192" s="2">
        <v>375585624.08999997</v>
      </c>
      <c r="L192" s="3">
        <f t="shared" si="61"/>
        <v>7.5577277000533948E-3</v>
      </c>
      <c r="M192" s="18">
        <v>121.7396</v>
      </c>
      <c r="N192" s="18">
        <v>122.44370000000001</v>
      </c>
      <c r="O192" s="59">
        <v>168</v>
      </c>
      <c r="P192" s="5">
        <v>5.0540000000000003E-3</v>
      </c>
      <c r="Q192" s="5">
        <v>0.22439999999999999</v>
      </c>
      <c r="R192" s="78">
        <f>((K192-D192)/D192)</f>
        <v>1.2155363397519715E-3</v>
      </c>
      <c r="S192" s="78">
        <f>((N192-G192)/G192)</f>
        <v>5.0538464064090677E-3</v>
      </c>
      <c r="T192" s="78">
        <f>((O192-H192)/H192)</f>
        <v>0</v>
      </c>
      <c r="U192" s="78">
        <f>P192-I192</f>
        <v>3.0250000000000003E-3</v>
      </c>
      <c r="V192" s="80">
        <f>Q192-J192</f>
        <v>5.9999999999998943E-4</v>
      </c>
    </row>
    <row r="193" spans="1:22">
      <c r="A193" s="144">
        <v>161</v>
      </c>
      <c r="B193" s="138" t="s">
        <v>242</v>
      </c>
      <c r="C193" s="139" t="s">
        <v>195</v>
      </c>
      <c r="D193" s="2">
        <v>167330591.22</v>
      </c>
      <c r="E193" s="3">
        <f t="shared" si="60"/>
        <v>3.3774182368709435E-3</v>
      </c>
      <c r="F193" s="18">
        <v>106.7671</v>
      </c>
      <c r="G193" s="18">
        <v>106.7671</v>
      </c>
      <c r="H193" s="59">
        <v>76</v>
      </c>
      <c r="I193" s="5">
        <v>1.97E-3</v>
      </c>
      <c r="J193" s="5">
        <v>6.6119999999999998E-2</v>
      </c>
      <c r="K193" s="2">
        <v>157752322.16</v>
      </c>
      <c r="L193" s="3">
        <f t="shared" si="61"/>
        <v>3.1743736140728467E-3</v>
      </c>
      <c r="M193" s="18">
        <v>107.0411</v>
      </c>
      <c r="N193" s="18">
        <v>107.0411</v>
      </c>
      <c r="O193" s="59">
        <v>76</v>
      </c>
      <c r="P193" s="5">
        <v>2.5660000000000001E-3</v>
      </c>
      <c r="Q193" s="5">
        <v>7.0411000000000001E-2</v>
      </c>
      <c r="R193" s="78">
        <f>((K193-D193)/D193)</f>
        <v>-5.7241589778445547E-2</v>
      </c>
      <c r="S193" s="78">
        <f>((N193-G193)/G193)</f>
        <v>2.5663336364854052E-3</v>
      </c>
      <c r="T193" s="78">
        <f>((O193-H193)/H193)</f>
        <v>0</v>
      </c>
      <c r="U193" s="78">
        <f>P193-I193</f>
        <v>5.9600000000000018E-4</v>
      </c>
      <c r="V193" s="80">
        <f>Q193-J193</f>
        <v>4.2910000000000031E-3</v>
      </c>
    </row>
    <row r="194" spans="1:22" ht="13.5" customHeight="1">
      <c r="A194" s="144">
        <v>162</v>
      </c>
      <c r="B194" s="138" t="s">
        <v>191</v>
      </c>
      <c r="C194" s="139" t="s">
        <v>78</v>
      </c>
      <c r="D194" s="2">
        <v>1038295418.11</v>
      </c>
      <c r="E194" s="3">
        <f t="shared" si="60"/>
        <v>2.0957063826862965E-2</v>
      </c>
      <c r="F194" s="14">
        <v>102.96</v>
      </c>
      <c r="G194" s="14">
        <v>102.96</v>
      </c>
      <c r="H194" s="58">
        <v>564</v>
      </c>
      <c r="I194" s="5">
        <v>2.3E-3</v>
      </c>
      <c r="J194" s="5">
        <v>6.1800000000000001E-2</v>
      </c>
      <c r="K194" s="2">
        <v>1047994411.63</v>
      </c>
      <c r="L194" s="3">
        <f t="shared" si="61"/>
        <v>2.1088284232037766E-2</v>
      </c>
      <c r="M194" s="14">
        <v>103.19</v>
      </c>
      <c r="N194" s="14">
        <v>103.19</v>
      </c>
      <c r="O194" s="58">
        <v>566</v>
      </c>
      <c r="P194" s="5">
        <v>2.3E-3</v>
      </c>
      <c r="Q194" s="5">
        <v>6.4100000000000004E-2</v>
      </c>
      <c r="R194" s="78">
        <f t="shared" si="62"/>
        <v>9.341265839018122E-3</v>
      </c>
      <c r="S194" s="78">
        <f t="shared" si="63"/>
        <v>2.2338772338772726E-3</v>
      </c>
      <c r="T194" s="78">
        <f t="shared" si="64"/>
        <v>3.5460992907801418E-3</v>
      </c>
      <c r="U194" s="78">
        <f t="shared" si="65"/>
        <v>0</v>
      </c>
      <c r="V194" s="80">
        <f t="shared" si="66"/>
        <v>2.3000000000000034E-3</v>
      </c>
    </row>
    <row r="195" spans="1:22" ht="15.75" customHeight="1">
      <c r="A195" s="81">
        <v>163</v>
      </c>
      <c r="B195" s="152" t="s">
        <v>192</v>
      </c>
      <c r="C195" s="153" t="s">
        <v>42</v>
      </c>
      <c r="D195" s="2">
        <v>7030993175.3800001</v>
      </c>
      <c r="E195" s="3">
        <f t="shared" si="60"/>
        <v>0.14191430509333711</v>
      </c>
      <c r="F195" s="14">
        <v>131.16999999999999</v>
      </c>
      <c r="G195" s="14">
        <v>131.16999999999999</v>
      </c>
      <c r="H195" s="58">
        <v>1227</v>
      </c>
      <c r="I195" s="5">
        <v>0</v>
      </c>
      <c r="J195" s="5">
        <v>2.24E-2</v>
      </c>
      <c r="K195" s="2">
        <v>7014863455.1700001</v>
      </c>
      <c r="L195" s="3">
        <f t="shared" si="61"/>
        <v>0.1411567015528967</v>
      </c>
      <c r="M195" s="14">
        <v>131.16999999999999</v>
      </c>
      <c r="N195" s="14">
        <v>131.16999999999999</v>
      </c>
      <c r="O195" s="58">
        <v>1233</v>
      </c>
      <c r="P195" s="5">
        <v>0</v>
      </c>
      <c r="Q195" s="5">
        <v>2.24E-2</v>
      </c>
      <c r="R195" s="78">
        <f t="shared" si="62"/>
        <v>-2.2940884463493005E-3</v>
      </c>
      <c r="S195" s="78">
        <f t="shared" si="63"/>
        <v>0</v>
      </c>
      <c r="T195" s="78">
        <f t="shared" si="64"/>
        <v>4.8899755501222494E-3</v>
      </c>
      <c r="U195" s="78">
        <f t="shared" si="65"/>
        <v>0</v>
      </c>
      <c r="V195" s="80">
        <f t="shared" si="66"/>
        <v>0</v>
      </c>
    </row>
    <row r="196" spans="1:22">
      <c r="A196" s="81">
        <v>164</v>
      </c>
      <c r="B196" s="152" t="s">
        <v>193</v>
      </c>
      <c r="C196" s="153" t="s">
        <v>45</v>
      </c>
      <c r="D196" s="2">
        <v>3719677879.9699998</v>
      </c>
      <c r="E196" s="3">
        <f t="shared" si="60"/>
        <v>7.5078369206135684E-2</v>
      </c>
      <c r="F196" s="14">
        <v>1.1612</v>
      </c>
      <c r="G196" s="14">
        <v>1.1612</v>
      </c>
      <c r="H196" s="58">
        <v>708</v>
      </c>
      <c r="I196" s="5">
        <v>9.9000000000000005E-2</v>
      </c>
      <c r="J196" s="5">
        <v>9.9500000000000005E-2</v>
      </c>
      <c r="K196" s="2">
        <v>3726532205.9699998</v>
      </c>
      <c r="L196" s="3">
        <f t="shared" si="61"/>
        <v>7.4987203640818012E-2</v>
      </c>
      <c r="M196" s="14">
        <v>1.1633</v>
      </c>
      <c r="N196" s="14">
        <v>1.1633</v>
      </c>
      <c r="O196" s="58">
        <v>760</v>
      </c>
      <c r="P196" s="5">
        <v>9.8699999999999996E-2</v>
      </c>
      <c r="Q196" s="5">
        <v>9.9199999999999997E-2</v>
      </c>
      <c r="R196" s="78">
        <f t="shared" si="62"/>
        <v>1.8427203164310781E-3</v>
      </c>
      <c r="S196" s="78">
        <f t="shared" si="63"/>
        <v>1.8084739924216248E-3</v>
      </c>
      <c r="T196" s="78">
        <f t="shared" si="64"/>
        <v>7.3446327683615822E-2</v>
      </c>
      <c r="U196" s="78">
        <f t="shared" si="65"/>
        <v>-3.0000000000000859E-4</v>
      </c>
      <c r="V196" s="80">
        <f t="shared" si="66"/>
        <v>-3.0000000000000859E-4</v>
      </c>
    </row>
    <row r="197" spans="1:22">
      <c r="A197" s="82"/>
      <c r="B197" s="136"/>
      <c r="C197" s="64" t="s">
        <v>46</v>
      </c>
      <c r="D197" s="57">
        <f>SUM(D182:D196)</f>
        <v>49543935481.033516</v>
      </c>
      <c r="E197" s="97">
        <f>(D197/$D$198)</f>
        <v>1.5996560445288494E-2</v>
      </c>
      <c r="F197" s="30"/>
      <c r="G197" s="34"/>
      <c r="H197" s="66">
        <f>SUM(H182:H196)</f>
        <v>28205</v>
      </c>
      <c r="I197" s="35"/>
      <c r="J197" s="35"/>
      <c r="K197" s="57">
        <f>SUM(K182:K196)</f>
        <v>49695575045.307137</v>
      </c>
      <c r="L197" s="97">
        <f>(K197/$K$198)</f>
        <v>1.5717292731731985E-2</v>
      </c>
      <c r="M197" s="30"/>
      <c r="N197" s="34"/>
      <c r="O197" s="66">
        <f>SUM(O182:O196)</f>
        <v>28307</v>
      </c>
      <c r="P197" s="35"/>
      <c r="Q197" s="35"/>
      <c r="R197" s="78">
        <f t="shared" si="62"/>
        <v>3.060708900116978E-3</v>
      </c>
      <c r="S197" s="78" t="e">
        <f t="shared" si="63"/>
        <v>#DIV/0!</v>
      </c>
      <c r="T197" s="78">
        <f t="shared" si="64"/>
        <v>3.6163800744548839E-3</v>
      </c>
      <c r="U197" s="78">
        <f t="shared" si="65"/>
        <v>0</v>
      </c>
      <c r="V197" s="80">
        <f t="shared" si="66"/>
        <v>0</v>
      </c>
    </row>
    <row r="198" spans="1:22">
      <c r="A198" s="83"/>
      <c r="B198" s="38"/>
      <c r="C198" s="65" t="s">
        <v>196</v>
      </c>
      <c r="D198" s="67">
        <f>SUM(D23,D61,D99,D133,D141,D172,D178,D197)</f>
        <v>3097161771149.7358</v>
      </c>
      <c r="E198" s="39"/>
      <c r="F198" s="39"/>
      <c r="G198" s="40"/>
      <c r="H198" s="67">
        <f>SUM(H23,H61,H99,H133,H141,H172,H178,H197)</f>
        <v>746150</v>
      </c>
      <c r="I198" s="41"/>
      <c r="J198" s="41"/>
      <c r="K198" s="67">
        <f>SUM(K23,K61,K99,K133,K141,K172,K178,K197)</f>
        <v>3161840648610.9189</v>
      </c>
      <c r="L198" s="39"/>
      <c r="M198" s="39"/>
      <c r="N198" s="40"/>
      <c r="O198" s="67">
        <f>SUM(O23,O61,O99,O133,O141,O172,O178,O197)</f>
        <v>751819</v>
      </c>
      <c r="P198" s="42"/>
      <c r="Q198" s="67"/>
      <c r="R198" s="25">
        <f t="shared" si="62"/>
        <v>2.0883273861788905E-2</v>
      </c>
      <c r="S198" s="25"/>
      <c r="T198" s="25"/>
      <c r="U198" s="25"/>
      <c r="V198" s="25"/>
    </row>
    <row r="199" spans="1:22" ht="6.75" customHeight="1">
      <c r="A199" s="160"/>
      <c r="B199" s="160"/>
      <c r="C199" s="160"/>
      <c r="D199" s="160"/>
      <c r="E199" s="160"/>
      <c r="F199" s="160"/>
      <c r="G199" s="160"/>
      <c r="H199" s="160"/>
      <c r="I199" s="160"/>
      <c r="J199" s="160"/>
      <c r="K199" s="160"/>
      <c r="L199" s="160"/>
      <c r="M199" s="160"/>
      <c r="N199" s="160"/>
      <c r="O199" s="160"/>
      <c r="P199" s="160"/>
      <c r="Q199" s="160"/>
      <c r="R199" s="160"/>
      <c r="S199" s="160"/>
      <c r="T199" s="160"/>
      <c r="U199" s="160"/>
      <c r="V199" s="19"/>
    </row>
    <row r="200" spans="1:22" ht="15.75">
      <c r="A200" s="158" t="s">
        <v>197</v>
      </c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  <c r="R200" s="158"/>
      <c r="S200" s="158"/>
      <c r="T200" s="158"/>
      <c r="U200" s="158"/>
      <c r="V200" s="158"/>
    </row>
    <row r="201" spans="1:22">
      <c r="A201" s="81">
        <v>1</v>
      </c>
      <c r="B201" s="152" t="s">
        <v>198</v>
      </c>
      <c r="C201" s="153" t="s">
        <v>199</v>
      </c>
      <c r="D201" s="2">
        <v>103175705234</v>
      </c>
      <c r="E201" s="3">
        <f>(D201/$D$203)</f>
        <v>0.93429416966999068</v>
      </c>
      <c r="F201" s="14">
        <v>107.39</v>
      </c>
      <c r="G201" s="14">
        <v>107.39</v>
      </c>
      <c r="H201" s="62">
        <v>0</v>
      </c>
      <c r="I201" s="20">
        <v>0</v>
      </c>
      <c r="J201" s="20">
        <v>0.13800000000000001</v>
      </c>
      <c r="K201" s="2">
        <v>103175705234</v>
      </c>
      <c r="L201" s="3">
        <f>(K201/$K$203)</f>
        <v>0.93419765009973577</v>
      </c>
      <c r="M201" s="14">
        <v>107.39</v>
      </c>
      <c r="N201" s="14">
        <v>107.39</v>
      </c>
      <c r="O201" s="62">
        <v>0</v>
      </c>
      <c r="P201" s="20">
        <v>0</v>
      </c>
      <c r="Q201" s="20">
        <v>0.13800000000000001</v>
      </c>
      <c r="R201" s="78">
        <f>((K201-D201)/D201)</f>
        <v>0</v>
      </c>
      <c r="S201" s="78">
        <f>((N201-G201)/G201)</f>
        <v>0</v>
      </c>
      <c r="T201" s="78" t="e">
        <f>((O201-H201)/H201)</f>
        <v>#DIV/0!</v>
      </c>
      <c r="U201" s="78">
        <f>P201-I201</f>
        <v>0</v>
      </c>
      <c r="V201" s="80">
        <f>Q201-J201</f>
        <v>0</v>
      </c>
    </row>
    <row r="202" spans="1:22">
      <c r="A202" s="81">
        <v>2</v>
      </c>
      <c r="B202" s="152" t="s">
        <v>200</v>
      </c>
      <c r="C202" s="153" t="s">
        <v>45</v>
      </c>
      <c r="D202" s="2">
        <v>7256007371.5100002</v>
      </c>
      <c r="E202" s="3">
        <f>(D202/$D$203)</f>
        <v>6.5705830330009402E-2</v>
      </c>
      <c r="F202" s="21">
        <v>1000000</v>
      </c>
      <c r="G202" s="21">
        <v>1000000</v>
      </c>
      <c r="H202" s="62">
        <v>0</v>
      </c>
      <c r="I202" s="20">
        <v>0.21909999999999999</v>
      </c>
      <c r="J202" s="20">
        <v>0.21909999999999999</v>
      </c>
      <c r="K202" s="2">
        <v>7267416971.4399996</v>
      </c>
      <c r="L202" s="3">
        <f>(K202/$K$203)</f>
        <v>6.5802349900264179E-2</v>
      </c>
      <c r="M202" s="21">
        <v>1000000</v>
      </c>
      <c r="N202" s="21">
        <v>1000000</v>
      </c>
      <c r="O202" s="62">
        <v>0</v>
      </c>
      <c r="P202" s="20">
        <v>0.21390000000000001</v>
      </c>
      <c r="Q202" s="20">
        <v>0.21390000000000001</v>
      </c>
      <c r="R202" s="78">
        <f>((K202-D202)/D202)</f>
        <v>1.5724349970753922E-3</v>
      </c>
      <c r="S202" s="78">
        <f>((N202-G202)/G202)</f>
        <v>0</v>
      </c>
      <c r="T202" s="78" t="e">
        <f>((O202-H202)/H202)</f>
        <v>#DIV/0!</v>
      </c>
      <c r="U202" s="78">
        <f>P202-I202</f>
        <v>-5.1999999999999824E-3</v>
      </c>
      <c r="V202" s="80">
        <f>Q202-J202</f>
        <v>-5.1999999999999824E-3</v>
      </c>
    </row>
    <row r="203" spans="1:22">
      <c r="A203" s="38"/>
      <c r="B203" s="38"/>
      <c r="C203" s="65" t="s">
        <v>201</v>
      </c>
      <c r="D203" s="71">
        <f>SUM(D201:D202)</f>
        <v>110431712605.50999</v>
      </c>
      <c r="E203" s="24"/>
      <c r="F203" s="22"/>
      <c r="G203" s="22"/>
      <c r="H203" s="71">
        <f>SUM(H201:H202)</f>
        <v>0</v>
      </c>
      <c r="I203" s="23"/>
      <c r="J203" s="23"/>
      <c r="K203" s="71">
        <f>SUM(K201:K202)</f>
        <v>110443122205.44</v>
      </c>
      <c r="L203" s="24"/>
      <c r="M203" s="22"/>
      <c r="N203" s="22"/>
      <c r="O203" s="23"/>
      <c r="P203" s="23"/>
      <c r="Q203" s="71"/>
      <c r="R203" s="25">
        <f>((K203-D203)/D203)</f>
        <v>1.0331814712288228E-4</v>
      </c>
      <c r="S203" s="26"/>
      <c r="T203" s="26"/>
      <c r="U203" s="25"/>
      <c r="V203" s="84"/>
    </row>
    <row r="204" spans="1:22" ht="8.25" customHeight="1">
      <c r="A204" s="157"/>
      <c r="B204" s="157"/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  <c r="S204" s="157"/>
      <c r="T204" s="157"/>
      <c r="U204" s="157"/>
      <c r="V204" s="157"/>
    </row>
    <row r="205" spans="1:22" ht="15.75">
      <c r="A205" s="158" t="s">
        <v>202</v>
      </c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  <c r="R205" s="158"/>
      <c r="S205" s="158"/>
      <c r="T205" s="158"/>
      <c r="U205" s="158"/>
      <c r="V205" s="158"/>
    </row>
    <row r="206" spans="1:22">
      <c r="A206" s="140">
        <v>1</v>
      </c>
      <c r="B206" s="138" t="s">
        <v>203</v>
      </c>
      <c r="C206" s="139" t="s">
        <v>74</v>
      </c>
      <c r="D206" s="27">
        <v>973912184.49509156</v>
      </c>
      <c r="E206" s="10">
        <f t="shared" ref="E206:E217" si="67">(D206/$D$218)</f>
        <v>7.8878876251932101E-2</v>
      </c>
      <c r="F206" s="21">
        <v>229.50681854485484</v>
      </c>
      <c r="G206" s="21">
        <v>233.56739521856954</v>
      </c>
      <c r="H206" s="61">
        <v>61</v>
      </c>
      <c r="I206" s="28">
        <v>-4.5037484044133658E-3</v>
      </c>
      <c r="J206" s="28">
        <v>0.3110180426416933</v>
      </c>
      <c r="K206" s="27">
        <v>981922341.35603166</v>
      </c>
      <c r="L206" s="10">
        <f t="shared" ref="L206:L217" si="68">(K206/$K$218)</f>
        <v>7.9194078827294817E-2</v>
      </c>
      <c r="M206" s="21">
        <v>231.39444829881739</v>
      </c>
      <c r="N206" s="21">
        <v>235.56072365500174</v>
      </c>
      <c r="O206" s="61">
        <v>61</v>
      </c>
      <c r="P206" s="28">
        <v>8.2247218881370543E-3</v>
      </c>
      <c r="Q206" s="28">
        <v>0.32180080143275092</v>
      </c>
      <c r="R206" s="78">
        <f>((K206-D206)/D206)</f>
        <v>8.2247218881369988E-3</v>
      </c>
      <c r="S206" s="78">
        <f>((N206-G206)/G206)</f>
        <v>8.5342752337793596E-3</v>
      </c>
      <c r="T206" s="78">
        <f>((O206-H206)/H206)</f>
        <v>0</v>
      </c>
      <c r="U206" s="78">
        <f>P206-I206</f>
        <v>1.272847029255042E-2</v>
      </c>
      <c r="V206" s="80">
        <f>Q206-J206</f>
        <v>1.0782758791057612E-2</v>
      </c>
    </row>
    <row r="207" spans="1:22">
      <c r="A207" s="146">
        <v>2</v>
      </c>
      <c r="B207" s="138" t="s">
        <v>204</v>
      </c>
      <c r="C207" s="139" t="s">
        <v>183</v>
      </c>
      <c r="D207" s="27">
        <v>1026761737.58</v>
      </c>
      <c r="E207" s="10">
        <f t="shared" si="67"/>
        <v>8.315925534988497E-2</v>
      </c>
      <c r="F207" s="21">
        <v>29.2</v>
      </c>
      <c r="G207" s="21">
        <v>32.28</v>
      </c>
      <c r="H207" s="61">
        <v>206</v>
      </c>
      <c r="I207" s="28">
        <v>3.3999999999999998E-3</v>
      </c>
      <c r="J207" s="28">
        <v>0.36249999999999999</v>
      </c>
      <c r="K207" s="27">
        <v>1021934685.14</v>
      </c>
      <c r="L207" s="10">
        <f t="shared" si="68"/>
        <v>8.2421157562784619E-2</v>
      </c>
      <c r="M207" s="21">
        <v>29.07</v>
      </c>
      <c r="N207" s="21">
        <v>32.130000000000003</v>
      </c>
      <c r="O207" s="61">
        <v>206</v>
      </c>
      <c r="P207" s="28">
        <v>-4.7000000000000002E-3</v>
      </c>
      <c r="Q207" s="28">
        <v>0.35610000000000003</v>
      </c>
      <c r="R207" s="78">
        <f t="shared" ref="R207:R218" si="69">((K207-D207)/D207)</f>
        <v>-4.7012391125686621E-3</v>
      </c>
      <c r="S207" s="78">
        <f t="shared" ref="S207:S218" si="70">((N207-G207)/G207)</f>
        <v>-4.6468401486988407E-3</v>
      </c>
      <c r="T207" s="78">
        <f t="shared" ref="T207:T218" si="71">((O207-H207)/H207)</f>
        <v>0</v>
      </c>
      <c r="U207" s="78">
        <f t="shared" ref="U207:U218" si="72">P207-I207</f>
        <v>-8.0999999999999996E-3</v>
      </c>
      <c r="V207" s="80">
        <f t="shared" ref="V207:V218" si="73">Q207-J207</f>
        <v>-6.3999999999999613E-3</v>
      </c>
    </row>
    <row r="208" spans="1:22">
      <c r="A208" s="146">
        <v>3</v>
      </c>
      <c r="B208" s="138" t="s">
        <v>205</v>
      </c>
      <c r="C208" s="139" t="s">
        <v>36</v>
      </c>
      <c r="D208" s="27">
        <v>281292712.48000002</v>
      </c>
      <c r="E208" s="10">
        <f t="shared" si="67"/>
        <v>2.2782396001938574E-2</v>
      </c>
      <c r="F208" s="21">
        <v>20.914164</v>
      </c>
      <c r="G208" s="21">
        <v>21.410620999999999</v>
      </c>
      <c r="H208" s="61">
        <v>107</v>
      </c>
      <c r="I208" s="28">
        <v>-5.4502232259497463E-2</v>
      </c>
      <c r="J208" s="28">
        <v>-0.10639103720331011</v>
      </c>
      <c r="K208" s="27">
        <v>285178958.32999998</v>
      </c>
      <c r="L208" s="10">
        <f t="shared" si="68"/>
        <v>2.3000276044929116E-2</v>
      </c>
      <c r="M208" s="21">
        <v>21.5</v>
      </c>
      <c r="N208" s="21">
        <v>22</v>
      </c>
      <c r="O208" s="61">
        <v>124</v>
      </c>
      <c r="P208" s="28">
        <v>-5.4502232259497463E-2</v>
      </c>
      <c r="Q208" s="28">
        <v>-8.1699999999999995E-2</v>
      </c>
      <c r="R208" s="78">
        <f t="shared" si="69"/>
        <v>1.3815664884230789E-2</v>
      </c>
      <c r="S208" s="78">
        <f t="shared" si="70"/>
        <v>2.7527412679903166E-2</v>
      </c>
      <c r="T208" s="78">
        <f t="shared" si="71"/>
        <v>0.15887850467289719</v>
      </c>
      <c r="U208" s="78">
        <f t="shared" si="72"/>
        <v>0</v>
      </c>
      <c r="V208" s="80">
        <f t="shared" si="73"/>
        <v>2.4691037203310118E-2</v>
      </c>
    </row>
    <row r="209" spans="1:22">
      <c r="A209" s="146">
        <v>4</v>
      </c>
      <c r="B209" s="138" t="s">
        <v>206</v>
      </c>
      <c r="C209" s="139" t="s">
        <v>36</v>
      </c>
      <c r="D209" s="27">
        <v>581213023.26000011</v>
      </c>
      <c r="E209" s="10">
        <f t="shared" si="67"/>
        <v>4.707347424912306E-2</v>
      </c>
      <c r="F209" s="21">
        <v>44.001362</v>
      </c>
      <c r="G209" s="21">
        <v>44.556828000000003</v>
      </c>
      <c r="H209" s="61">
        <v>98</v>
      </c>
      <c r="I209" s="28">
        <v>-5.3036812573749037E-3</v>
      </c>
      <c r="J209" s="28">
        <v>0.16897662189053242</v>
      </c>
      <c r="K209" s="27">
        <v>592564977.28999996</v>
      </c>
      <c r="L209" s="10">
        <f t="shared" si="68"/>
        <v>4.7791597711272671E-2</v>
      </c>
      <c r="M209" s="21">
        <v>44.69</v>
      </c>
      <c r="N209" s="21">
        <v>45.26</v>
      </c>
      <c r="O209" s="61">
        <v>122</v>
      </c>
      <c r="P209" s="28">
        <v>-5.3036812573749037E-3</v>
      </c>
      <c r="Q209" s="28">
        <v>0.18729999999999999</v>
      </c>
      <c r="R209" s="78">
        <f t="shared" si="69"/>
        <v>1.953148600547043E-2</v>
      </c>
      <c r="S209" s="78">
        <f t="shared" si="70"/>
        <v>1.5781464515382357E-2</v>
      </c>
      <c r="T209" s="78">
        <f t="shared" si="71"/>
        <v>0.24489795918367346</v>
      </c>
      <c r="U209" s="78">
        <f t="shared" si="72"/>
        <v>0</v>
      </c>
      <c r="V209" s="80">
        <f t="shared" si="73"/>
        <v>1.8323378109467575E-2</v>
      </c>
    </row>
    <row r="210" spans="1:22">
      <c r="A210" s="81">
        <v>5</v>
      </c>
      <c r="B210" s="152" t="s">
        <v>207</v>
      </c>
      <c r="C210" s="153" t="s">
        <v>208</v>
      </c>
      <c r="D210" s="27">
        <v>1219347716.0699999</v>
      </c>
      <c r="E210" s="10">
        <f t="shared" si="67"/>
        <v>9.8757135535607721E-2</v>
      </c>
      <c r="F210" s="21">
        <v>28500</v>
      </c>
      <c r="G210" s="21">
        <v>36300</v>
      </c>
      <c r="H210" s="61">
        <v>228</v>
      </c>
      <c r="I210" s="28">
        <v>7.0000000000000007E-2</v>
      </c>
      <c r="J210" s="28">
        <v>1.0900000000000001</v>
      </c>
      <c r="K210" s="27">
        <v>1207614936.0599999</v>
      </c>
      <c r="L210" s="10">
        <f t="shared" si="68"/>
        <v>9.7396655938473992E-2</v>
      </c>
      <c r="M210" s="21">
        <v>28300</v>
      </c>
      <c r="N210" s="21">
        <v>36200</v>
      </c>
      <c r="O210" s="61">
        <v>228</v>
      </c>
      <c r="P210" s="28">
        <v>-0.01</v>
      </c>
      <c r="Q210" s="28">
        <v>1.07</v>
      </c>
      <c r="R210" s="78">
        <f t="shared" si="69"/>
        <v>-9.6221773784225789E-3</v>
      </c>
      <c r="S210" s="78">
        <f t="shared" si="70"/>
        <v>-2.7548209366391185E-3</v>
      </c>
      <c r="T210" s="78">
        <f t="shared" si="71"/>
        <v>0</v>
      </c>
      <c r="U210" s="78">
        <f t="shared" si="72"/>
        <v>-0.08</v>
      </c>
      <c r="V210" s="80">
        <f t="shared" si="73"/>
        <v>-2.0000000000000018E-2</v>
      </c>
    </row>
    <row r="211" spans="1:22">
      <c r="A211" s="81">
        <v>6</v>
      </c>
      <c r="B211" s="152" t="s">
        <v>209</v>
      </c>
      <c r="C211" s="153" t="s">
        <v>210</v>
      </c>
      <c r="D211" s="27">
        <v>1062738322.86</v>
      </c>
      <c r="E211" s="10">
        <f t="shared" si="67"/>
        <v>8.6073062840382075E-2</v>
      </c>
      <c r="F211" s="21">
        <v>1189.99</v>
      </c>
      <c r="G211" s="21">
        <v>1189.99</v>
      </c>
      <c r="H211" s="61">
        <v>122</v>
      </c>
      <c r="I211" s="28">
        <v>-1.3100000000000001E-2</v>
      </c>
      <c r="J211" s="28">
        <v>0.1293</v>
      </c>
      <c r="K211" s="27">
        <v>1073613038.5700001</v>
      </c>
      <c r="L211" s="10">
        <f t="shared" si="68"/>
        <v>8.6589124236756354E-2</v>
      </c>
      <c r="M211" s="21">
        <v>1178</v>
      </c>
      <c r="N211" s="21">
        <v>1178</v>
      </c>
      <c r="O211" s="61">
        <v>122</v>
      </c>
      <c r="P211" s="28">
        <v>-2.5999999999999999E-3</v>
      </c>
      <c r="Q211" s="28">
        <v>0.1406</v>
      </c>
      <c r="R211" s="78">
        <f t="shared" si="69"/>
        <v>1.0232731309372967E-2</v>
      </c>
      <c r="S211" s="78">
        <f t="shared" si="70"/>
        <v>-1.0075714921974142E-2</v>
      </c>
      <c r="T211" s="78">
        <f t="shared" si="71"/>
        <v>0</v>
      </c>
      <c r="U211" s="78">
        <f t="shared" si="72"/>
        <v>1.0500000000000001E-2</v>
      </c>
      <c r="V211" s="80">
        <f t="shared" si="73"/>
        <v>1.1300000000000004E-2</v>
      </c>
    </row>
    <row r="212" spans="1:22">
      <c r="A212" s="81">
        <v>7</v>
      </c>
      <c r="B212" s="152" t="s">
        <v>211</v>
      </c>
      <c r="C212" s="153" t="s">
        <v>210</v>
      </c>
      <c r="D212" s="27">
        <v>885823362.51999998</v>
      </c>
      <c r="E212" s="10">
        <f t="shared" si="67"/>
        <v>7.1744406226429761E-2</v>
      </c>
      <c r="F212" s="21">
        <v>600</v>
      </c>
      <c r="G212" s="21">
        <v>600</v>
      </c>
      <c r="H212" s="61">
        <v>572</v>
      </c>
      <c r="I212" s="28">
        <v>-5.7000000000000002E-3</v>
      </c>
      <c r="J212" s="28">
        <v>0.32629999999999998</v>
      </c>
      <c r="K212" s="27">
        <v>894155884.50999999</v>
      </c>
      <c r="L212" s="10">
        <f t="shared" si="68"/>
        <v>7.2115531564322613E-2</v>
      </c>
      <c r="M212" s="21">
        <v>540.30999999999995</v>
      </c>
      <c r="N212" s="21">
        <v>540.30999999999995</v>
      </c>
      <c r="O212" s="61">
        <v>572</v>
      </c>
      <c r="P212" s="28">
        <v>4.4999999999999997E-3</v>
      </c>
      <c r="Q212" s="28">
        <v>0.33860000000000001</v>
      </c>
      <c r="R212" s="78">
        <f t="shared" si="69"/>
        <v>9.4065276922653748E-3</v>
      </c>
      <c r="S212" s="78">
        <f t="shared" si="70"/>
        <v>-9.9483333333333424E-2</v>
      </c>
      <c r="T212" s="78">
        <f t="shared" si="71"/>
        <v>0</v>
      </c>
      <c r="U212" s="78">
        <f t="shared" si="72"/>
        <v>1.0200000000000001E-2</v>
      </c>
      <c r="V212" s="80">
        <f t="shared" si="73"/>
        <v>1.2300000000000033E-2</v>
      </c>
    </row>
    <row r="213" spans="1:22">
      <c r="A213" s="140">
        <v>8</v>
      </c>
      <c r="B213" s="138" t="s">
        <v>212</v>
      </c>
      <c r="C213" s="139" t="s">
        <v>213</v>
      </c>
      <c r="D213" s="27">
        <v>51720200.5</v>
      </c>
      <c r="E213" s="10">
        <f t="shared" si="67"/>
        <v>4.1889108278069572E-3</v>
      </c>
      <c r="F213" s="21">
        <v>15.64</v>
      </c>
      <c r="G213" s="21">
        <v>15.64</v>
      </c>
      <c r="H213" s="61">
        <v>60</v>
      </c>
      <c r="I213" s="28">
        <v>0</v>
      </c>
      <c r="J213" s="28">
        <v>0.43230000000000002</v>
      </c>
      <c r="K213" s="27">
        <v>51832834.619999997</v>
      </c>
      <c r="L213" s="10">
        <f t="shared" si="68"/>
        <v>4.1804259032029211E-3</v>
      </c>
      <c r="M213" s="21">
        <v>15.61</v>
      </c>
      <c r="N213" s="21">
        <v>15.71</v>
      </c>
      <c r="O213" s="61">
        <v>60</v>
      </c>
      <c r="P213" s="28">
        <v>0</v>
      </c>
      <c r="Q213" s="28">
        <v>0.43230000000000002</v>
      </c>
      <c r="R213" s="78">
        <f t="shared" si="69"/>
        <v>2.1777587656489714E-3</v>
      </c>
      <c r="S213" s="78">
        <f t="shared" si="70"/>
        <v>4.4757033248082022E-3</v>
      </c>
      <c r="T213" s="78">
        <f t="shared" si="71"/>
        <v>0</v>
      </c>
      <c r="U213" s="78">
        <f t="shared" si="72"/>
        <v>0</v>
      </c>
      <c r="V213" s="80">
        <f t="shared" si="73"/>
        <v>0</v>
      </c>
    </row>
    <row r="214" spans="1:22">
      <c r="A214" s="140">
        <v>9</v>
      </c>
      <c r="B214" s="138" t="s">
        <v>214</v>
      </c>
      <c r="C214" s="139" t="s">
        <v>213</v>
      </c>
      <c r="D214" s="29">
        <v>527053491.39999998</v>
      </c>
      <c r="E214" s="10">
        <f t="shared" si="67"/>
        <v>4.2686997645318893E-2</v>
      </c>
      <c r="F214" s="21">
        <v>8.39</v>
      </c>
      <c r="G214" s="21">
        <v>8.49</v>
      </c>
      <c r="H214" s="61">
        <v>101</v>
      </c>
      <c r="I214" s="28">
        <v>0</v>
      </c>
      <c r="J214" s="28">
        <v>-3.1699999999999999E-2</v>
      </c>
      <c r="K214" s="29">
        <v>526883912.56999999</v>
      </c>
      <c r="L214" s="10">
        <f t="shared" si="68"/>
        <v>4.2494283251849119E-2</v>
      </c>
      <c r="M214" s="21">
        <v>8.39</v>
      </c>
      <c r="N214" s="21">
        <v>8.49</v>
      </c>
      <c r="O214" s="61">
        <v>101</v>
      </c>
      <c r="P214" s="28">
        <v>0</v>
      </c>
      <c r="Q214" s="28">
        <v>-3.1699999999999999E-2</v>
      </c>
      <c r="R214" s="78">
        <f t="shared" si="69"/>
        <v>-3.2174880304755213E-4</v>
      </c>
      <c r="S214" s="78">
        <f t="shared" si="70"/>
        <v>0</v>
      </c>
      <c r="T214" s="78">
        <f t="shared" si="71"/>
        <v>0</v>
      </c>
      <c r="U214" s="78">
        <f t="shared" si="72"/>
        <v>0</v>
      </c>
      <c r="V214" s="80">
        <f t="shared" si="73"/>
        <v>0</v>
      </c>
    </row>
    <row r="215" spans="1:22" ht="15" customHeight="1">
      <c r="A215" s="140">
        <v>10</v>
      </c>
      <c r="B215" s="138" t="s">
        <v>215</v>
      </c>
      <c r="C215" s="139" t="s">
        <v>213</v>
      </c>
      <c r="D215" s="27">
        <v>431930322.80000001</v>
      </c>
      <c r="E215" s="10">
        <f t="shared" si="67"/>
        <v>3.4982803402610056E-2</v>
      </c>
      <c r="F215" s="21">
        <v>121.69</v>
      </c>
      <c r="G215" s="21">
        <v>123.69</v>
      </c>
      <c r="H215" s="61">
        <v>272</v>
      </c>
      <c r="I215" s="28">
        <v>2.7199999999999998E-2</v>
      </c>
      <c r="J215" s="28">
        <v>4.8000000000000001E-2</v>
      </c>
      <c r="K215" s="27">
        <v>434543154.74000001</v>
      </c>
      <c r="L215" s="10">
        <f t="shared" si="68"/>
        <v>3.5046809101844399E-2</v>
      </c>
      <c r="M215" s="21">
        <v>122.44</v>
      </c>
      <c r="N215" s="21">
        <v>124.44</v>
      </c>
      <c r="O215" s="61">
        <v>260</v>
      </c>
      <c r="P215" s="28">
        <v>9.6100000000000005E-2</v>
      </c>
      <c r="Q215" s="28">
        <v>0.14860000000000001</v>
      </c>
      <c r="R215" s="78">
        <f t="shared" si="69"/>
        <v>6.0491977573193835E-3</v>
      </c>
      <c r="S215" s="78">
        <f t="shared" si="70"/>
        <v>6.0635459616783897E-3</v>
      </c>
      <c r="T215" s="78">
        <f t="shared" si="71"/>
        <v>-4.4117647058823532E-2</v>
      </c>
      <c r="U215" s="78">
        <f t="shared" si="72"/>
        <v>6.8900000000000003E-2</v>
      </c>
      <c r="V215" s="80">
        <f t="shared" si="73"/>
        <v>0.10060000000000001</v>
      </c>
    </row>
    <row r="216" spans="1:22">
      <c r="A216" s="140">
        <v>11</v>
      </c>
      <c r="B216" s="138" t="s">
        <v>216</v>
      </c>
      <c r="C216" s="139" t="s">
        <v>213</v>
      </c>
      <c r="D216" s="27">
        <v>5224399428.4799995</v>
      </c>
      <c r="E216" s="10">
        <f t="shared" si="67"/>
        <v>0.42313338160296482</v>
      </c>
      <c r="F216" s="21">
        <v>37.049999999999997</v>
      </c>
      <c r="G216" s="21">
        <v>37.25</v>
      </c>
      <c r="H216" s="61">
        <v>276</v>
      </c>
      <c r="I216" s="28">
        <v>0</v>
      </c>
      <c r="J216" s="28">
        <v>0.34439999999999998</v>
      </c>
      <c r="K216" s="27">
        <v>5248312464.8800001</v>
      </c>
      <c r="L216" s="10">
        <f t="shared" si="68"/>
        <v>0.42328731463629771</v>
      </c>
      <c r="M216" s="21">
        <v>37.43</v>
      </c>
      <c r="N216" s="21">
        <v>37.630000000000003</v>
      </c>
      <c r="O216" s="61">
        <v>278</v>
      </c>
      <c r="P216" s="28">
        <v>8.3000000000000001E-3</v>
      </c>
      <c r="Q216" s="28">
        <v>0.33329999999999999</v>
      </c>
      <c r="R216" s="78">
        <f t="shared" si="69"/>
        <v>4.5771837944936561E-3</v>
      </c>
      <c r="S216" s="78">
        <f t="shared" si="70"/>
        <v>1.0201342281879263E-2</v>
      </c>
      <c r="T216" s="78">
        <f t="shared" si="71"/>
        <v>7.246376811594203E-3</v>
      </c>
      <c r="U216" s="78">
        <f t="shared" si="72"/>
        <v>8.3000000000000001E-3</v>
      </c>
      <c r="V216" s="80">
        <f t="shared" si="73"/>
        <v>-1.1099999999999999E-2</v>
      </c>
    </row>
    <row r="217" spans="1:22">
      <c r="A217" s="140">
        <v>12</v>
      </c>
      <c r="B217" s="138" t="s">
        <v>217</v>
      </c>
      <c r="C217" s="139" t="s">
        <v>213</v>
      </c>
      <c r="D217" s="29">
        <v>80740298.480000004</v>
      </c>
      <c r="E217" s="10">
        <f t="shared" si="67"/>
        <v>6.5393000660010523E-3</v>
      </c>
      <c r="F217" s="21">
        <v>46.99</v>
      </c>
      <c r="G217" s="21">
        <v>47.19</v>
      </c>
      <c r="H217" s="61">
        <v>57</v>
      </c>
      <c r="I217" s="28">
        <v>0</v>
      </c>
      <c r="J217" s="28">
        <v>0.81130000000000002</v>
      </c>
      <c r="K217" s="29">
        <v>80379145.260000005</v>
      </c>
      <c r="L217" s="10">
        <f t="shared" si="68"/>
        <v>6.4827452209715621E-3</v>
      </c>
      <c r="M217" s="21">
        <v>47.03</v>
      </c>
      <c r="N217" s="21">
        <v>47.23</v>
      </c>
      <c r="O217" s="61">
        <v>57</v>
      </c>
      <c r="P217" s="28">
        <v>0</v>
      </c>
      <c r="Q217" s="28">
        <v>0.81130000000000002</v>
      </c>
      <c r="R217" s="78">
        <f t="shared" si="69"/>
        <v>-4.4730230974989425E-3</v>
      </c>
      <c r="S217" s="78">
        <f t="shared" si="70"/>
        <v>8.4763721127355685E-4</v>
      </c>
      <c r="T217" s="78">
        <f t="shared" si="71"/>
        <v>0</v>
      </c>
      <c r="U217" s="78">
        <f t="shared" si="72"/>
        <v>0</v>
      </c>
      <c r="V217" s="80">
        <f t="shared" si="73"/>
        <v>0</v>
      </c>
    </row>
    <row r="218" spans="1:22">
      <c r="A218" s="129"/>
      <c r="B218" s="129"/>
      <c r="C218" s="130" t="s">
        <v>218</v>
      </c>
      <c r="D218" s="71">
        <f>SUM(D206:D217)</f>
        <v>12346932800.925091</v>
      </c>
      <c r="E218" s="24"/>
      <c r="F218" s="24"/>
      <c r="G218" s="22"/>
      <c r="H218" s="71">
        <f>SUM(H206:H217)</f>
        <v>2160</v>
      </c>
      <c r="I218" s="23"/>
      <c r="J218" s="23"/>
      <c r="K218" s="71">
        <f>SUM(K206:K217)</f>
        <v>12398936333.326033</v>
      </c>
      <c r="L218" s="24"/>
      <c r="M218" s="24"/>
      <c r="N218" s="22"/>
      <c r="O218" s="71">
        <f>SUM(O206:O217)</f>
        <v>2191</v>
      </c>
      <c r="P218" s="23"/>
      <c r="Q218" s="23"/>
      <c r="R218" s="78">
        <f t="shared" si="69"/>
        <v>4.2118583813014268E-3</v>
      </c>
      <c r="S218" s="78" t="e">
        <f t="shared" si="70"/>
        <v>#DIV/0!</v>
      </c>
      <c r="T218" s="78">
        <f t="shared" si="71"/>
        <v>1.4351851851851852E-2</v>
      </c>
      <c r="U218" s="78">
        <f t="shared" si="72"/>
        <v>0</v>
      </c>
      <c r="V218" s="80">
        <f t="shared" si="73"/>
        <v>0</v>
      </c>
    </row>
    <row r="219" spans="1:22">
      <c r="A219" s="85"/>
      <c r="B219" s="85"/>
      <c r="C219" s="86" t="s">
        <v>219</v>
      </c>
      <c r="D219" s="87">
        <f>SUM(D198,D203,D218)</f>
        <v>3219940416556.1709</v>
      </c>
      <c r="E219" s="88"/>
      <c r="F219" s="88"/>
      <c r="G219" s="89"/>
      <c r="H219" s="87">
        <f>SUM(H198,H203,H218)</f>
        <v>748310</v>
      </c>
      <c r="I219" s="90"/>
      <c r="J219" s="90"/>
      <c r="K219" s="87">
        <f>SUM(K198,K203,K218)</f>
        <v>3284682707149.6851</v>
      </c>
      <c r="L219" s="88"/>
      <c r="M219" s="88"/>
      <c r="N219" s="89"/>
      <c r="O219" s="87">
        <f>SUM(O198,O203,O218)</f>
        <v>754010</v>
      </c>
      <c r="P219" s="91"/>
      <c r="Q219" s="87"/>
      <c r="R219" s="92"/>
      <c r="S219" s="93"/>
      <c r="T219" s="93"/>
      <c r="U219" s="94"/>
      <c r="V219" s="94"/>
    </row>
    <row r="220" spans="1:22">
      <c r="A220" s="106" t="s">
        <v>248</v>
      </c>
      <c r="B220" s="107" t="s">
        <v>285</v>
      </c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</row>
    <row r="222" spans="1:22">
      <c r="B222" s="110"/>
      <c r="C222" s="110"/>
      <c r="D222" s="109"/>
      <c r="K222" s="109"/>
    </row>
    <row r="223" spans="1:22">
      <c r="B223" s="123"/>
      <c r="C223" s="124"/>
      <c r="D223" s="125"/>
      <c r="F223" s="126"/>
      <c r="G223" s="126"/>
      <c r="I223" s="127"/>
      <c r="J223" s="128"/>
    </row>
    <row r="226" spans="2:2">
      <c r="B226" s="110"/>
    </row>
  </sheetData>
  <sheetProtection password="CA3B" sheet="1" objects="1" scenarios="1"/>
  <mergeCells count="31">
    <mergeCell ref="A100:V100"/>
    <mergeCell ref="A1:V1"/>
    <mergeCell ref="U2:V2"/>
    <mergeCell ref="A4:V4"/>
    <mergeCell ref="A5:V5"/>
    <mergeCell ref="A24:V24"/>
    <mergeCell ref="A25:V25"/>
    <mergeCell ref="A62:V62"/>
    <mergeCell ref="A63:V63"/>
    <mergeCell ref="R2:T2"/>
    <mergeCell ref="K2:Q2"/>
    <mergeCell ref="D2:J2"/>
    <mergeCell ref="A180:V180"/>
    <mergeCell ref="A101:V101"/>
    <mergeCell ref="A102:V102"/>
    <mergeCell ref="A118:V118"/>
    <mergeCell ref="A119:V119"/>
    <mergeCell ref="A134:V134"/>
    <mergeCell ref="A135:V135"/>
    <mergeCell ref="A142:V142"/>
    <mergeCell ref="A143:V143"/>
    <mergeCell ref="A173:V173"/>
    <mergeCell ref="A174:V174"/>
    <mergeCell ref="A179:V179"/>
    <mergeCell ref="A204:V204"/>
    <mergeCell ref="A205:V205"/>
    <mergeCell ref="A181:V181"/>
    <mergeCell ref="A184:V184"/>
    <mergeCell ref="A185:V185"/>
    <mergeCell ref="A199:U199"/>
    <mergeCell ref="A200:V200"/>
  </mergeCells>
  <pageMargins left="0.7" right="0.7" top="0.75" bottom="0.75" header="0.3" footer="0.3"/>
  <pageSetup paperSize="9" orientation="portrait" horizontalDpi="300" verticalDpi="300" r:id="rId1"/>
  <ignoredErrors>
    <ignoredError sqref="L86 E86 E68" formula="1"/>
    <ignoredError sqref="S141 S23 T35 S61 S99 S133 T151 S172 S178 S197 S218 T201:T20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F7" sqref="F7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5">
      <c r="A1" s="96"/>
      <c r="B1" s="96"/>
      <c r="C1" s="96"/>
      <c r="D1" s="96"/>
    </row>
    <row r="2" spans="1:5" ht="33">
      <c r="A2" s="171" t="s">
        <v>220</v>
      </c>
      <c r="B2" s="179" t="s">
        <v>282</v>
      </c>
      <c r="C2" s="179" t="s">
        <v>287</v>
      </c>
      <c r="D2" s="96"/>
    </row>
    <row r="3" spans="1:5" ht="16.5">
      <c r="A3" s="180" t="s">
        <v>15</v>
      </c>
      <c r="B3" s="174">
        <f t="shared" ref="B3:C10" si="0">B13</f>
        <v>28.668185801740002</v>
      </c>
      <c r="C3" s="174">
        <f t="shared" si="0"/>
        <v>27.374223550790397</v>
      </c>
      <c r="D3" s="96"/>
    </row>
    <row r="4" spans="1:5" ht="17.25" customHeight="1">
      <c r="A4" s="173" t="s">
        <v>47</v>
      </c>
      <c r="B4" s="176">
        <f t="shared" si="0"/>
        <v>1142.9213127732401</v>
      </c>
      <c r="C4" s="176">
        <f t="shared" si="0"/>
        <v>1166.7228772850799</v>
      </c>
      <c r="D4" s="96"/>
    </row>
    <row r="5" spans="1:5" ht="19.5" customHeight="1">
      <c r="A5" s="173" t="s">
        <v>221</v>
      </c>
      <c r="B5" s="174">
        <f t="shared" si="0"/>
        <v>234.50945639979122</v>
      </c>
      <c r="C5" s="174">
        <f t="shared" si="0"/>
        <v>231.62902102744599</v>
      </c>
      <c r="D5" s="96"/>
    </row>
    <row r="6" spans="1:5" ht="16.5">
      <c r="A6" s="173" t="s">
        <v>128</v>
      </c>
      <c r="B6" s="176">
        <f t="shared" si="0"/>
        <v>1488.3553387158659</v>
      </c>
      <c r="C6" s="176">
        <f t="shared" si="0"/>
        <v>1533.1297084149489</v>
      </c>
      <c r="D6" s="96"/>
    </row>
    <row r="7" spans="1:5" ht="16.5">
      <c r="A7" s="173" t="s">
        <v>222</v>
      </c>
      <c r="B7" s="174">
        <f t="shared" si="0"/>
        <v>98.677642489274277</v>
      </c>
      <c r="C7" s="174">
        <f t="shared" si="0"/>
        <v>98.890361757442918</v>
      </c>
      <c r="D7" s="96"/>
    </row>
    <row r="8" spans="1:5" ht="16.5">
      <c r="A8" s="173" t="s">
        <v>152</v>
      </c>
      <c r="B8" s="175">
        <f t="shared" si="0"/>
        <v>49.261704634470767</v>
      </c>
      <c r="C8" s="175">
        <f t="shared" si="0"/>
        <v>49.152903684924063</v>
      </c>
      <c r="D8" s="96"/>
    </row>
    <row r="9" spans="1:5" ht="16.5">
      <c r="A9" s="173" t="s">
        <v>176</v>
      </c>
      <c r="B9" s="174">
        <f t="shared" si="0"/>
        <v>5.2241948543199994</v>
      </c>
      <c r="C9" s="174">
        <f t="shared" si="0"/>
        <v>5.2459778449799996</v>
      </c>
      <c r="D9" s="96"/>
    </row>
    <row r="10" spans="1:5" ht="16.5">
      <c r="A10" s="173" t="s">
        <v>223</v>
      </c>
      <c r="B10" s="174">
        <f t="shared" si="0"/>
        <v>49.543935481033515</v>
      </c>
      <c r="C10" s="174">
        <f t="shared" si="0"/>
        <v>49.695575045307137</v>
      </c>
      <c r="D10" s="96"/>
    </row>
    <row r="11" spans="1:5" ht="16.5">
      <c r="A11" s="177"/>
      <c r="B11" s="181"/>
      <c r="C11" s="181"/>
      <c r="D11" s="96"/>
    </row>
    <row r="12" spans="1:5">
      <c r="A12" s="96"/>
      <c r="B12" s="96"/>
      <c r="C12" s="96"/>
      <c r="D12" s="96"/>
    </row>
    <row r="13" spans="1:5">
      <c r="A13" s="182" t="s">
        <v>15</v>
      </c>
      <c r="B13" s="183">
        <f>'Weekly Valuation'!D23/1000000000</f>
        <v>28.668185801740002</v>
      </c>
      <c r="C13" s="184">
        <f>'Weekly Valuation'!K23/1000000000</f>
        <v>27.374223550790397</v>
      </c>
      <c r="D13" s="96"/>
      <c r="E13" s="98"/>
    </row>
    <row r="14" spans="1:5">
      <c r="A14" s="185" t="s">
        <v>47</v>
      </c>
      <c r="B14" s="183">
        <f>'Weekly Valuation'!D61/1000000000</f>
        <v>1142.9213127732401</v>
      </c>
      <c r="C14" s="186">
        <f>'Weekly Valuation'!K61/1000000000</f>
        <v>1166.7228772850799</v>
      </c>
      <c r="D14" s="96"/>
      <c r="E14" s="98"/>
    </row>
    <row r="15" spans="1:5">
      <c r="A15" s="185" t="s">
        <v>221</v>
      </c>
      <c r="B15" s="183">
        <f>'Weekly Valuation'!D99/1000000000</f>
        <v>234.50945639979122</v>
      </c>
      <c r="C15" s="184">
        <f>'Weekly Valuation'!K99/1000000000</f>
        <v>231.62902102744599</v>
      </c>
      <c r="D15" s="96"/>
      <c r="E15" s="98"/>
    </row>
    <row r="16" spans="1:5">
      <c r="A16" s="185" t="s">
        <v>128</v>
      </c>
      <c r="B16" s="183">
        <f>'Weekly Valuation'!D133/1000000000</f>
        <v>1488.3553387158659</v>
      </c>
      <c r="C16" s="186">
        <f>'Weekly Valuation'!K133/1000000000</f>
        <v>1533.1297084149489</v>
      </c>
      <c r="D16" s="96"/>
      <c r="E16" s="98"/>
    </row>
    <row r="17" spans="1:5">
      <c r="A17" s="185" t="s">
        <v>222</v>
      </c>
      <c r="B17" s="183">
        <f>'Weekly Valuation'!D141/1000000000</f>
        <v>98.677642489274277</v>
      </c>
      <c r="C17" s="184">
        <f>'Weekly Valuation'!K141/1000000000</f>
        <v>98.890361757442918</v>
      </c>
      <c r="D17" s="96"/>
      <c r="E17" s="98"/>
    </row>
    <row r="18" spans="1:5">
      <c r="A18" s="185" t="s">
        <v>152</v>
      </c>
      <c r="B18" s="183">
        <f>'Weekly Valuation'!D172/1000000000</f>
        <v>49.261704634470767</v>
      </c>
      <c r="C18" s="187">
        <f>'Weekly Valuation'!K172/1000000000</f>
        <v>49.152903684924063</v>
      </c>
      <c r="D18" s="96"/>
      <c r="E18" s="98"/>
    </row>
    <row r="19" spans="1:5">
      <c r="A19" s="185" t="s">
        <v>176</v>
      </c>
      <c r="B19" s="183">
        <f>'Weekly Valuation'!D178/1000000000</f>
        <v>5.2241948543199994</v>
      </c>
      <c r="C19" s="184">
        <f>'Weekly Valuation'!K178/1000000000</f>
        <v>5.2459778449799996</v>
      </c>
      <c r="D19" s="96"/>
      <c r="E19" s="98"/>
    </row>
    <row r="20" spans="1:5">
      <c r="A20" s="185" t="s">
        <v>223</v>
      </c>
      <c r="B20" s="183">
        <f>'Weekly Valuation'!D197/1000000000</f>
        <v>49.543935481033515</v>
      </c>
      <c r="C20" s="184">
        <f>'Weekly Valuation'!K197/1000000000</f>
        <v>49.695575045307137</v>
      </c>
      <c r="D20" s="96"/>
      <c r="E20" s="98"/>
    </row>
    <row r="21" spans="1:5" ht="16.5">
      <c r="A21" s="177"/>
      <c r="B21" s="96"/>
      <c r="C21" s="188"/>
      <c r="D21" s="96"/>
      <c r="E21" s="98"/>
    </row>
    <row r="22" spans="1:5" ht="16.5">
      <c r="A22" s="156"/>
      <c r="B22" s="141"/>
      <c r="C22" s="142"/>
      <c r="D22" s="96"/>
      <c r="E22" s="98"/>
    </row>
    <row r="23" spans="1:5" ht="16.5">
      <c r="A23" s="156"/>
      <c r="B23" s="142"/>
      <c r="C23" s="143"/>
      <c r="D23" s="96"/>
      <c r="E23" s="98"/>
    </row>
    <row r="24" spans="1:5" ht="16.5">
      <c r="A24" s="156"/>
      <c r="B24" s="142"/>
      <c r="C24" s="142"/>
      <c r="D24" s="96"/>
      <c r="E24" s="98"/>
    </row>
    <row r="25" spans="1:5" ht="16.5">
      <c r="A25" s="156"/>
      <c r="B25" s="142"/>
      <c r="C25" s="142"/>
      <c r="D25" s="98"/>
      <c r="E25" s="98"/>
    </row>
    <row r="26" spans="1:5" ht="16.5">
      <c r="A26" s="112"/>
      <c r="B26" s="103"/>
      <c r="C26" s="103"/>
      <c r="D26" s="98"/>
      <c r="E26" s="98"/>
    </row>
    <row r="27" spans="1:5" ht="16.5">
      <c r="A27" s="112"/>
      <c r="B27" s="103"/>
      <c r="C27" s="103"/>
      <c r="D27" s="98"/>
      <c r="E27" s="98"/>
    </row>
    <row r="28" spans="1:5">
      <c r="B28" s="98"/>
      <c r="C28" s="98"/>
    </row>
    <row r="29" spans="1:5">
      <c r="B29" s="98"/>
      <c r="C29" s="98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K8" sqref="K8"/>
    </sheetView>
  </sheetViews>
  <sheetFormatPr defaultRowHeight="15"/>
  <cols>
    <col min="1" max="1" width="26.7109375" customWidth="1"/>
    <col min="2" max="2" width="17.42578125" customWidth="1"/>
  </cols>
  <sheetData>
    <row r="1" spans="1:4" ht="16.5">
      <c r="A1" s="171" t="s">
        <v>220</v>
      </c>
      <c r="B1" s="172">
        <v>45492</v>
      </c>
      <c r="C1" s="96"/>
      <c r="D1" s="98"/>
    </row>
    <row r="2" spans="1:4" ht="16.5">
      <c r="A2" s="173" t="s">
        <v>176</v>
      </c>
      <c r="B2" s="174">
        <f>'Weekly Valuation'!K178</f>
        <v>5245977844.9799995</v>
      </c>
      <c r="C2" s="96"/>
      <c r="D2" s="98"/>
    </row>
    <row r="3" spans="1:4" ht="16.5">
      <c r="A3" s="173" t="s">
        <v>15</v>
      </c>
      <c r="B3" s="174">
        <f>'Weekly Valuation'!K23</f>
        <v>27374223550.790398</v>
      </c>
      <c r="C3" s="96"/>
      <c r="D3" s="98"/>
    </row>
    <row r="4" spans="1:4" ht="16.5">
      <c r="A4" s="173" t="s">
        <v>152</v>
      </c>
      <c r="B4" s="175">
        <f>'Weekly Valuation'!K172</f>
        <v>49152903684.924065</v>
      </c>
      <c r="C4" s="96"/>
      <c r="D4" s="98"/>
    </row>
    <row r="5" spans="1:4" ht="16.5">
      <c r="A5" s="173" t="s">
        <v>223</v>
      </c>
      <c r="B5" s="174">
        <f>'Weekly Valuation'!K197</f>
        <v>49695575045.307137</v>
      </c>
      <c r="C5" s="96"/>
      <c r="D5" s="98"/>
    </row>
    <row r="6" spans="1:4" ht="16.5">
      <c r="A6" s="173" t="s">
        <v>222</v>
      </c>
      <c r="B6" s="174">
        <f>'Weekly Valuation'!K141</f>
        <v>98890361757.442917</v>
      </c>
      <c r="C6" s="96"/>
      <c r="D6" s="98"/>
    </row>
    <row r="7" spans="1:4" ht="16.5">
      <c r="A7" s="173" t="s">
        <v>221</v>
      </c>
      <c r="B7" s="174">
        <f>'Weekly Valuation'!K99</f>
        <v>231629021027.44598</v>
      </c>
      <c r="C7" s="96"/>
      <c r="D7" s="98"/>
    </row>
    <row r="8" spans="1:4" ht="16.5">
      <c r="A8" s="173" t="s">
        <v>47</v>
      </c>
      <c r="B8" s="176">
        <f>'Weekly Valuation'!K61</f>
        <v>1166722877285.0798</v>
      </c>
      <c r="C8" s="96"/>
      <c r="D8" s="98"/>
    </row>
    <row r="9" spans="1:4" ht="16.5">
      <c r="A9" s="173" t="s">
        <v>128</v>
      </c>
      <c r="B9" s="176">
        <f>'Weekly Valuation'!K133</f>
        <v>1533129708414.949</v>
      </c>
      <c r="C9" s="96"/>
      <c r="D9" s="98"/>
    </row>
    <row r="10" spans="1:4">
      <c r="A10" s="96"/>
      <c r="B10" s="96"/>
      <c r="C10" s="96"/>
      <c r="D10" s="98"/>
    </row>
    <row r="11" spans="1:4" ht="16.5">
      <c r="A11" s="177"/>
      <c r="B11" s="178"/>
      <c r="C11" s="96"/>
      <c r="D11" s="98"/>
    </row>
    <row r="12" spans="1:4" ht="16.5">
      <c r="A12" s="142"/>
      <c r="B12" s="141"/>
      <c r="C12" s="141"/>
      <c r="D12" s="98"/>
    </row>
    <row r="13" spans="1:4" ht="16.5">
      <c r="A13" s="142"/>
      <c r="B13" s="142"/>
      <c r="C13" s="141"/>
      <c r="D13" s="98"/>
    </row>
    <row r="14" spans="1:4" ht="16.5">
      <c r="A14" s="142"/>
      <c r="B14" s="142"/>
      <c r="C14" s="141"/>
      <c r="D14" s="98"/>
    </row>
    <row r="15" spans="1:4" ht="16.5" customHeight="1">
      <c r="A15" s="143"/>
      <c r="B15" s="143"/>
      <c r="C15" s="141"/>
      <c r="D15" s="98"/>
    </row>
    <row r="16" spans="1:4" ht="16.5">
      <c r="A16" s="103"/>
      <c r="B16" s="103"/>
      <c r="C16" s="98"/>
      <c r="D16" s="98"/>
    </row>
    <row r="17" spans="1:17" ht="16.5">
      <c r="A17" s="103"/>
      <c r="B17" s="103"/>
      <c r="C17" s="98"/>
    </row>
    <row r="18" spans="1:17" ht="16.5">
      <c r="A18" s="115"/>
      <c r="B18" s="103"/>
      <c r="C18" s="98"/>
    </row>
    <row r="19" spans="1:17" ht="16.5">
      <c r="A19" s="115"/>
      <c r="B19" s="115"/>
      <c r="C19" s="98"/>
    </row>
    <row r="20" spans="1:17" ht="16.5">
      <c r="A20" s="115"/>
      <c r="B20" s="115"/>
      <c r="C20" s="98"/>
    </row>
    <row r="21" spans="1:17" ht="16.5">
      <c r="A21" s="112"/>
      <c r="B21" s="115"/>
      <c r="C21" s="98"/>
    </row>
    <row r="22" spans="1:17" ht="16.5">
      <c r="A22" s="98"/>
      <c r="B22" s="115"/>
      <c r="C22" s="98"/>
    </row>
    <row r="23" spans="1:17">
      <c r="A23" s="98"/>
      <c r="B23" s="98"/>
      <c r="C23" s="98"/>
    </row>
    <row r="24" spans="1:17">
      <c r="A24" s="98"/>
      <c r="B24" s="98"/>
      <c r="C24" s="98"/>
    </row>
    <row r="25" spans="1:17">
      <c r="A25" s="98"/>
      <c r="B25" s="98"/>
      <c r="C25" s="98"/>
    </row>
    <row r="26" spans="1:17">
      <c r="A26" s="98"/>
      <c r="B26" s="98"/>
    </row>
    <row r="32" spans="1:17" ht="16.5" customHeight="1">
      <c r="A32" s="170" t="s">
        <v>288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04"/>
    </row>
    <row r="33" spans="1:17" ht="15" customHeight="1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04"/>
    </row>
  </sheetData>
  <sheetProtection password="CA3B" sheet="1" objects="1" scenario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7"/>
  <sheetViews>
    <sheetView zoomScale="110" zoomScaleNormal="110" workbookViewId="0">
      <selection activeCell="F14" sqref="F14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8"/>
      <c r="M1" s="98"/>
    </row>
    <row r="2" spans="1:13">
      <c r="A2" s="131" t="s">
        <v>231</v>
      </c>
      <c r="B2" s="132">
        <v>45443</v>
      </c>
      <c r="C2" s="132">
        <v>45450</v>
      </c>
      <c r="D2" s="132">
        <v>45457</v>
      </c>
      <c r="E2" s="132">
        <v>45464</v>
      </c>
      <c r="F2" s="132">
        <v>45471</v>
      </c>
      <c r="G2" s="132">
        <v>45478</v>
      </c>
      <c r="H2" s="132">
        <v>45485</v>
      </c>
      <c r="I2" s="132">
        <v>45492</v>
      </c>
      <c r="J2" s="96"/>
      <c r="K2" s="96"/>
      <c r="L2" s="98"/>
      <c r="M2" s="98"/>
    </row>
    <row r="3" spans="1:13">
      <c r="A3" s="131" t="s">
        <v>232</v>
      </c>
      <c r="B3" s="133">
        <f t="shared" ref="B3:I3" si="0">B4</f>
        <v>2902.1598706044138</v>
      </c>
      <c r="C3" s="133">
        <f t="shared" si="0"/>
        <v>2910.8781340479409</v>
      </c>
      <c r="D3" s="133">
        <f t="shared" si="0"/>
        <v>2928.2097391078973</v>
      </c>
      <c r="E3" s="133">
        <f t="shared" si="0"/>
        <v>2935.8430719008147</v>
      </c>
      <c r="F3" s="133">
        <f t="shared" si="0"/>
        <v>2970.9827489413674</v>
      </c>
      <c r="G3" s="133">
        <f t="shared" si="0"/>
        <v>3047.0187418823903</v>
      </c>
      <c r="H3" s="133">
        <f t="shared" si="0"/>
        <v>3097.1617711497356</v>
      </c>
      <c r="I3" s="133">
        <f t="shared" si="0"/>
        <v>3161.8406486109188</v>
      </c>
      <c r="J3" s="96"/>
      <c r="K3" s="96"/>
      <c r="L3" s="98"/>
      <c r="M3" s="98"/>
    </row>
    <row r="4" spans="1:13">
      <c r="A4" s="96"/>
      <c r="B4" s="134">
        <f>'NAV Trend'!C10/1000000000</f>
        <v>2902.1598706044138</v>
      </c>
      <c r="C4" s="134">
        <f>'NAV Trend'!D10/1000000000</f>
        <v>2910.8781340479409</v>
      </c>
      <c r="D4" s="134">
        <f>'NAV Trend'!E10/1000000000</f>
        <v>2928.2097391078973</v>
      </c>
      <c r="E4" s="134">
        <f>'NAV Trend'!F10/1000000000</f>
        <v>2935.8430719008147</v>
      </c>
      <c r="F4" s="134">
        <f>'NAV Trend'!G10/1000000000</f>
        <v>2970.9827489413674</v>
      </c>
      <c r="G4" s="134">
        <f>'NAV Trend'!H10/1000000000</f>
        <v>3047.0187418823903</v>
      </c>
      <c r="H4" s="135">
        <f>'NAV Trend'!I10/1000000000</f>
        <v>3097.1617711497356</v>
      </c>
      <c r="I4" s="135">
        <f>'NAV Trend'!J10/1000000000</f>
        <v>3161.8406486109188</v>
      </c>
      <c r="J4" s="96"/>
      <c r="K4" s="96"/>
      <c r="L4" s="98"/>
      <c r="M4" s="98"/>
    </row>
    <row r="5" spans="1:13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8"/>
    </row>
    <row r="6" spans="1:13">
      <c r="A6" s="98"/>
      <c r="B6" s="98"/>
      <c r="C6" s="98"/>
      <c r="D6" s="98"/>
      <c r="E6" s="98"/>
      <c r="F6" s="98"/>
      <c r="G6" s="98"/>
      <c r="H6" s="98"/>
      <c r="I6" s="98"/>
      <c r="J6" s="98"/>
      <c r="K6" s="141"/>
      <c r="L6" s="98"/>
    </row>
    <row r="7" spans="1:13">
      <c r="A7" s="98"/>
      <c r="B7" s="98"/>
      <c r="C7" s="98"/>
      <c r="D7" s="98"/>
      <c r="E7" s="98"/>
      <c r="F7" s="98"/>
      <c r="G7" s="98"/>
      <c r="H7" s="98"/>
      <c r="I7" s="98"/>
      <c r="J7" s="98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7"/>
  <sheetViews>
    <sheetView workbookViewId="0">
      <selection sqref="A1:J6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6"/>
      <c r="B1" s="96"/>
      <c r="C1" s="96"/>
      <c r="D1" s="96"/>
      <c r="E1" s="96"/>
      <c r="F1" s="96"/>
      <c r="G1" s="96"/>
      <c r="H1" s="96"/>
      <c r="I1" s="96"/>
      <c r="J1" s="96"/>
      <c r="K1" s="98"/>
      <c r="L1" s="98"/>
    </row>
    <row r="2" spans="1:12">
      <c r="A2" s="131" t="s">
        <v>231</v>
      </c>
      <c r="B2" s="132">
        <v>45443</v>
      </c>
      <c r="C2" s="132">
        <v>45450</v>
      </c>
      <c r="D2" s="132">
        <v>45457</v>
      </c>
      <c r="E2" s="132">
        <v>45464</v>
      </c>
      <c r="F2" s="132">
        <v>45471</v>
      </c>
      <c r="G2" s="132">
        <v>45478</v>
      </c>
      <c r="H2" s="132">
        <v>45485</v>
      </c>
      <c r="I2" s="132">
        <v>45492</v>
      </c>
      <c r="J2" s="96"/>
      <c r="K2" s="98"/>
      <c r="L2" s="98"/>
    </row>
    <row r="3" spans="1:12">
      <c r="A3" s="131" t="s">
        <v>263</v>
      </c>
      <c r="B3" s="133">
        <f t="shared" ref="B3:I3" si="0">B4</f>
        <v>13.116887577834783</v>
      </c>
      <c r="C3" s="133">
        <f t="shared" si="0"/>
        <v>13.08808103006</v>
      </c>
      <c r="D3" s="133">
        <f t="shared" si="0"/>
        <v>13.263470098545037</v>
      </c>
      <c r="E3" s="133">
        <f t="shared" si="0"/>
        <v>13.253375082678389</v>
      </c>
      <c r="F3" s="133">
        <f t="shared" si="0"/>
        <v>12.263967010065977</v>
      </c>
      <c r="G3" s="133">
        <f t="shared" si="0"/>
        <v>12.187736015745237</v>
      </c>
      <c r="H3" s="133">
        <f t="shared" si="0"/>
        <v>12.34693280092509</v>
      </c>
      <c r="I3" s="133">
        <f t="shared" si="0"/>
        <v>12.398936333326033</v>
      </c>
      <c r="J3" s="96"/>
      <c r="K3" s="98"/>
      <c r="L3" s="98"/>
    </row>
    <row r="4" spans="1:12">
      <c r="A4" s="96"/>
      <c r="B4" s="134">
        <f>'NAV Trend'!C16/1000000000</f>
        <v>13.116887577834783</v>
      </c>
      <c r="C4" s="134">
        <f>'NAV Trend'!D16/1000000000</f>
        <v>13.08808103006</v>
      </c>
      <c r="D4" s="134">
        <f>'NAV Trend'!E16/1000000000</f>
        <v>13.263470098545037</v>
      </c>
      <c r="E4" s="134">
        <f>'NAV Trend'!F16/1000000000</f>
        <v>13.253375082678389</v>
      </c>
      <c r="F4" s="134">
        <f>'NAV Trend'!G16/1000000000</f>
        <v>12.263967010065977</v>
      </c>
      <c r="G4" s="134">
        <f>'NAV Trend'!H16/1000000000</f>
        <v>12.187736015745237</v>
      </c>
      <c r="H4" s="134">
        <f>'NAV Trend'!I16/1000000000</f>
        <v>12.34693280092509</v>
      </c>
      <c r="I4" s="135">
        <f>'NAV Trend'!J16/1000000000</f>
        <v>12.398936333326033</v>
      </c>
      <c r="J4" s="96"/>
      <c r="K4" s="98"/>
      <c r="L4" s="98"/>
    </row>
    <row r="5" spans="1:12">
      <c r="A5" s="96"/>
      <c r="B5" s="96"/>
      <c r="C5" s="96"/>
      <c r="D5" s="96"/>
      <c r="E5" s="96"/>
      <c r="F5" s="96"/>
      <c r="G5" s="96"/>
      <c r="H5" s="96"/>
      <c r="I5" s="96"/>
      <c r="J5" s="96"/>
      <c r="K5" s="98"/>
      <c r="L5" s="98"/>
    </row>
    <row r="6" spans="1:12">
      <c r="A6" s="96"/>
      <c r="B6" s="96"/>
      <c r="C6" s="96"/>
      <c r="D6" s="96"/>
      <c r="E6" s="96"/>
      <c r="F6" s="96"/>
      <c r="G6" s="96"/>
      <c r="H6" s="96"/>
      <c r="I6" s="96"/>
      <c r="J6" s="96"/>
      <c r="K6" s="98"/>
      <c r="L6" s="98"/>
    </row>
    <row r="7" spans="1:12">
      <c r="A7" s="98"/>
      <c r="B7" s="98"/>
      <c r="C7" s="98"/>
      <c r="D7" s="98"/>
      <c r="E7" s="98"/>
      <c r="F7" s="98"/>
      <c r="G7" s="98"/>
      <c r="H7" s="98"/>
      <c r="I7" s="98"/>
      <c r="J7" s="98"/>
    </row>
  </sheetData>
  <sheetProtection password="CA3B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E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3" t="s">
        <v>220</v>
      </c>
      <c r="B1" s="44">
        <v>45436</v>
      </c>
      <c r="C1" s="44">
        <v>45443</v>
      </c>
      <c r="D1" s="44">
        <v>45450</v>
      </c>
      <c r="E1" s="44">
        <v>45457</v>
      </c>
      <c r="F1" s="44">
        <v>45464</v>
      </c>
      <c r="G1" s="44">
        <v>45471</v>
      </c>
      <c r="H1" s="44">
        <v>45478</v>
      </c>
      <c r="I1" s="44">
        <v>45485</v>
      </c>
      <c r="J1" s="44">
        <v>45492</v>
      </c>
    </row>
    <row r="2" spans="1:11" ht="16.5">
      <c r="A2" s="45" t="s">
        <v>15</v>
      </c>
      <c r="B2" s="122">
        <v>26745861363.273003</v>
      </c>
      <c r="C2" s="122">
        <v>27654216011.584301</v>
      </c>
      <c r="D2" s="122">
        <v>27684716686.990002</v>
      </c>
      <c r="E2" s="122">
        <v>28067702772.25</v>
      </c>
      <c r="F2" s="122">
        <v>28799678439.980003</v>
      </c>
      <c r="G2" s="122">
        <v>28745543118.100006</v>
      </c>
      <c r="H2" s="122">
        <v>28719008525.705399</v>
      </c>
      <c r="I2" s="122">
        <v>28668185801.740002</v>
      </c>
      <c r="J2" s="122">
        <v>27374223550.790398</v>
      </c>
    </row>
    <row r="3" spans="1:11" ht="16.5">
      <c r="A3" s="45" t="s">
        <v>47</v>
      </c>
      <c r="B3" s="122">
        <v>984566121728.51306</v>
      </c>
      <c r="C3" s="122">
        <v>1008157528628.0232</v>
      </c>
      <c r="D3" s="122">
        <v>1019331524884.9598</v>
      </c>
      <c r="E3" s="122">
        <v>1035718749074.4199</v>
      </c>
      <c r="F3" s="122">
        <v>1043320161390.5101</v>
      </c>
      <c r="G3" s="122">
        <v>1064964007608.8696</v>
      </c>
      <c r="H3" s="122">
        <v>1119081554645.3997</v>
      </c>
      <c r="I3" s="122">
        <v>1142921312773.24</v>
      </c>
      <c r="J3" s="122">
        <v>1166722877285.0798</v>
      </c>
    </row>
    <row r="4" spans="1:11" ht="16.5">
      <c r="A4" s="45" t="s">
        <v>221</v>
      </c>
      <c r="B4" s="121">
        <v>239747208262.17911</v>
      </c>
      <c r="C4" s="121">
        <v>239139059960.20239</v>
      </c>
      <c r="D4" s="121">
        <v>238984928037.17987</v>
      </c>
      <c r="E4" s="121">
        <v>238318816891.85349</v>
      </c>
      <c r="F4" s="121">
        <v>234982241429.96106</v>
      </c>
      <c r="G4" s="121">
        <v>232706729235.12198</v>
      </c>
      <c r="H4" s="121">
        <v>231541169667.96704</v>
      </c>
      <c r="I4" s="121">
        <v>234509456399.79123</v>
      </c>
      <c r="J4" s="121">
        <v>231629021027.44598</v>
      </c>
    </row>
    <row r="5" spans="1:11" ht="16.5">
      <c r="A5" s="45" t="s">
        <v>128</v>
      </c>
      <c r="B5" s="122">
        <v>1403942641631.5686</v>
      </c>
      <c r="C5" s="122">
        <v>1423985113076.9678</v>
      </c>
      <c r="D5" s="122">
        <v>1421592979861.6797</v>
      </c>
      <c r="E5" s="122">
        <v>1422260670513.2676</v>
      </c>
      <c r="F5" s="122">
        <v>1424471070589.1018</v>
      </c>
      <c r="G5" s="122">
        <v>1440746247502.9666</v>
      </c>
      <c r="H5" s="122">
        <v>1462330955935.3621</v>
      </c>
      <c r="I5" s="122">
        <v>1488355338715.866</v>
      </c>
      <c r="J5" s="122">
        <v>1533129708414.949</v>
      </c>
    </row>
    <row r="6" spans="1:11" ht="16.5">
      <c r="A6" s="45" t="s">
        <v>222</v>
      </c>
      <c r="B6" s="46">
        <v>98590301385.434418</v>
      </c>
      <c r="C6" s="46">
        <v>98591493716.940277</v>
      </c>
      <c r="D6" s="46">
        <v>98650430272.592407</v>
      </c>
      <c r="E6" s="46">
        <v>98697054246.114548</v>
      </c>
      <c r="F6" s="46">
        <v>98696481407.247284</v>
      </c>
      <c r="G6" s="46">
        <v>98610688317.905182</v>
      </c>
      <c r="H6" s="46">
        <v>100344953021.42615</v>
      </c>
      <c r="I6" s="46">
        <v>98677642489.274277</v>
      </c>
      <c r="J6" s="46">
        <v>98890361757.442917</v>
      </c>
    </row>
    <row r="7" spans="1:11" ht="16.5">
      <c r="A7" s="45" t="s">
        <v>152</v>
      </c>
      <c r="B7" s="47">
        <v>47384871316.741325</v>
      </c>
      <c r="C7" s="47">
        <v>48530220711.204056</v>
      </c>
      <c r="D7" s="47">
        <v>48611257159.725822</v>
      </c>
      <c r="E7" s="47">
        <v>49621576838.56208</v>
      </c>
      <c r="F7" s="47">
        <v>50024750313.981438</v>
      </c>
      <c r="G7" s="47">
        <v>50394267994.968483</v>
      </c>
      <c r="H7" s="47">
        <v>50184242132.945633</v>
      </c>
      <c r="I7" s="47">
        <v>49261704634.470764</v>
      </c>
      <c r="J7" s="47">
        <v>49152903684.924065</v>
      </c>
    </row>
    <row r="8" spans="1:11" ht="16.5">
      <c r="A8" s="45" t="s">
        <v>176</v>
      </c>
      <c r="B8" s="46">
        <v>4763237841.7700005</v>
      </c>
      <c r="C8" s="46">
        <v>4908750285.25</v>
      </c>
      <c r="D8" s="46">
        <v>4967557316.1199999</v>
      </c>
      <c r="E8" s="46">
        <v>5139182455.1800003</v>
      </c>
      <c r="F8" s="46">
        <v>5167886512.6100006</v>
      </c>
      <c r="G8" s="46">
        <v>5189379175.1599998</v>
      </c>
      <c r="H8" s="46">
        <v>5228361973.7299995</v>
      </c>
      <c r="I8" s="46">
        <v>5224194854.3199997</v>
      </c>
      <c r="J8" s="46">
        <v>5245977844.9799995</v>
      </c>
    </row>
    <row r="9" spans="1:11" ht="16.5">
      <c r="A9" s="45" t="s">
        <v>223</v>
      </c>
      <c r="B9" s="46">
        <v>50977525627.555077</v>
      </c>
      <c r="C9" s="46">
        <v>51193488214.241379</v>
      </c>
      <c r="D9" s="46">
        <v>51054739828.693481</v>
      </c>
      <c r="E9" s="46">
        <v>50385986316.249466</v>
      </c>
      <c r="F9" s="46">
        <v>50380801817.423843</v>
      </c>
      <c r="G9" s="46">
        <v>49625885988.275536</v>
      </c>
      <c r="H9" s="46">
        <v>49588495979.853813</v>
      </c>
      <c r="I9" s="46">
        <v>49543935481.033516</v>
      </c>
      <c r="J9" s="46">
        <v>49695575045.307137</v>
      </c>
    </row>
    <row r="10" spans="1:11" ht="15.75">
      <c r="A10" s="48" t="s">
        <v>224</v>
      </c>
      <c r="B10" s="49">
        <f t="shared" ref="B10:I10" si="0">SUM(B2:B9)</f>
        <v>2856717769157.0347</v>
      </c>
      <c r="C10" s="49">
        <f t="shared" si="0"/>
        <v>2902159870604.4136</v>
      </c>
      <c r="D10" s="49">
        <f t="shared" si="0"/>
        <v>2910878134047.9409</v>
      </c>
      <c r="E10" s="49">
        <f t="shared" si="0"/>
        <v>2928209739107.8975</v>
      </c>
      <c r="F10" s="49">
        <f t="shared" si="0"/>
        <v>2935843071900.8149</v>
      </c>
      <c r="G10" s="49">
        <f t="shared" si="0"/>
        <v>2970982748941.3672</v>
      </c>
      <c r="H10" s="49">
        <f t="shared" si="0"/>
        <v>3047018741882.3901</v>
      </c>
      <c r="I10" s="49">
        <f t="shared" si="0"/>
        <v>3097161771149.7358</v>
      </c>
      <c r="J10" s="49">
        <f>SUM(J2:J9)</f>
        <v>3161840648610.9189</v>
      </c>
    </row>
    <row r="11" spans="1:11" ht="16.5">
      <c r="A11" s="50"/>
      <c r="B11" s="51"/>
      <c r="C11" s="51"/>
      <c r="D11" s="51"/>
      <c r="E11" s="51"/>
      <c r="F11" s="51"/>
      <c r="G11" s="51"/>
      <c r="H11" s="51"/>
      <c r="I11" s="50"/>
      <c r="J11" s="50"/>
    </row>
    <row r="12" spans="1:11" ht="15.75">
      <c r="A12" s="52" t="s">
        <v>225</v>
      </c>
      <c r="B12" s="53" t="s">
        <v>226</v>
      </c>
      <c r="C12" s="54">
        <f>(B10+C10)/2</f>
        <v>2879438819880.7241</v>
      </c>
      <c r="D12" s="55">
        <f t="shared" ref="D12:J12" si="1">(C10+D10)/2</f>
        <v>2906519002326.1772</v>
      </c>
      <c r="E12" s="55">
        <f t="shared" si="1"/>
        <v>2919543936577.9189</v>
      </c>
      <c r="F12" s="55">
        <f t="shared" si="1"/>
        <v>2932026405504.3564</v>
      </c>
      <c r="G12" s="55">
        <f>(F10+G10)/2</f>
        <v>2953412910421.0908</v>
      </c>
      <c r="H12" s="55">
        <f t="shared" si="1"/>
        <v>3009000745411.8789</v>
      </c>
      <c r="I12" s="55">
        <f t="shared" si="1"/>
        <v>3072090256516.063</v>
      </c>
      <c r="J12" s="55">
        <f t="shared" si="1"/>
        <v>3129501209880.3271</v>
      </c>
    </row>
    <row r="13" spans="1:11">
      <c r="C13" s="98"/>
      <c r="D13" s="98"/>
      <c r="E13" s="98"/>
      <c r="F13" s="98"/>
      <c r="G13" s="98"/>
      <c r="H13" s="98"/>
      <c r="I13" s="98"/>
      <c r="J13" s="98"/>
      <c r="K13" s="98"/>
    </row>
    <row r="14" spans="1:11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</row>
    <row r="15" spans="1:11" ht="16.5">
      <c r="A15" s="98"/>
      <c r="B15" s="44">
        <v>45436</v>
      </c>
      <c r="C15" s="44">
        <v>45443</v>
      </c>
      <c r="D15" s="44">
        <v>45450</v>
      </c>
      <c r="E15" s="44">
        <v>45457</v>
      </c>
      <c r="F15" s="44">
        <v>45464</v>
      </c>
      <c r="G15" s="44">
        <v>45471</v>
      </c>
      <c r="H15" s="44">
        <v>45478</v>
      </c>
      <c r="I15" s="44">
        <v>45485</v>
      </c>
      <c r="J15" s="44">
        <v>45492</v>
      </c>
      <c r="K15" s="98"/>
    </row>
    <row r="16" spans="1:11" ht="16.5">
      <c r="A16" s="118" t="s">
        <v>262</v>
      </c>
      <c r="B16" s="120">
        <v>12863444061.07283</v>
      </c>
      <c r="C16" s="120">
        <v>13116887577.834784</v>
      </c>
      <c r="D16" s="120">
        <v>13088081030.059999</v>
      </c>
      <c r="E16" s="120">
        <v>13263470098.545036</v>
      </c>
      <c r="F16" s="120">
        <v>13253375082.678389</v>
      </c>
      <c r="G16" s="120">
        <v>12263967010.065977</v>
      </c>
      <c r="H16" s="120">
        <v>12187736015.745237</v>
      </c>
      <c r="I16" s="120">
        <v>12346932800.925091</v>
      </c>
      <c r="J16" s="120">
        <v>12398936333.326033</v>
      </c>
      <c r="K16" s="98"/>
    </row>
    <row r="17" spans="1:11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spans="1:11">
      <c r="A18" s="98"/>
      <c r="B18" s="98"/>
      <c r="C18" s="119"/>
      <c r="D18" s="119"/>
      <c r="E18" s="119"/>
      <c r="F18" s="119"/>
      <c r="G18" s="119"/>
      <c r="H18" s="119"/>
      <c r="I18" s="119"/>
      <c r="J18" s="119"/>
      <c r="K18" s="98"/>
    </row>
    <row r="19" spans="1:11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</row>
    <row r="21" spans="1:11"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1">
      <c r="B22" s="98"/>
      <c r="C22" s="98"/>
      <c r="D22" s="98"/>
      <c r="E22" s="98"/>
      <c r="F22" s="98"/>
      <c r="G22" s="98"/>
      <c r="H22" s="98"/>
      <c r="I22" s="98"/>
      <c r="J22" s="98"/>
      <c r="K22" s="96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2024-07-26T13:03:21Z</dcterms:modified>
</cp:coreProperties>
</file>