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isaac\Desktop\Weekly NAV\"/>
    </mc:Choice>
  </mc:AlternateContent>
  <bookViews>
    <workbookView xWindow="0" yWindow="0" windowWidth="12672" windowHeight="9636"/>
  </bookViews>
  <sheets>
    <sheet name="Weekly Valuation" sheetId="1" r:id="rId1"/>
    <sheet name="NAV Comparison" sheetId="2" r:id="rId2"/>
    <sheet name="Market Share" sheetId="3" r:id="rId3"/>
    <sheet name="8-Week Movement in NAV" sheetId="5" r:id="rId4"/>
    <sheet name="8-Week Movement in ETFs" sheetId="6" r:id="rId5"/>
    <sheet name="NAV Trend" sheetId="4" state="hidden" r:id="rId6"/>
  </sheets>
  <calcPr calcId="162913"/>
</workbook>
</file>

<file path=xl/calcChain.xml><?xml version="1.0" encoding="utf-8"?>
<calcChain xmlns="http://schemas.openxmlformats.org/spreadsheetml/2006/main">
  <c r="G111" i="1" l="1"/>
  <c r="K135" i="1" l="1"/>
  <c r="N109" i="1" l="1"/>
  <c r="M109" i="1"/>
  <c r="K109" i="1"/>
  <c r="N124" i="1"/>
  <c r="M124" i="1"/>
  <c r="K124" i="1"/>
  <c r="N110" i="1"/>
  <c r="M110" i="1"/>
  <c r="K110" i="1"/>
  <c r="N128" i="1"/>
  <c r="M128" i="1"/>
  <c r="N119" i="1"/>
  <c r="M119" i="1"/>
  <c r="K119" i="1"/>
  <c r="M107" i="1"/>
  <c r="K107" i="1"/>
  <c r="N117" i="1" l="1"/>
  <c r="M117" i="1"/>
  <c r="K117" i="1"/>
  <c r="N133" i="1"/>
  <c r="M133" i="1"/>
  <c r="K133" i="1"/>
  <c r="N120" i="1"/>
  <c r="M120" i="1"/>
  <c r="K120" i="1"/>
  <c r="N129" i="1" l="1"/>
  <c r="M129" i="1"/>
  <c r="K129" i="1"/>
  <c r="N111" i="1"/>
  <c r="M111" i="1"/>
  <c r="K111" i="1"/>
  <c r="N118" i="1"/>
  <c r="M118" i="1"/>
  <c r="K118" i="1"/>
  <c r="M106" i="1"/>
  <c r="N106" i="1"/>
  <c r="N107" i="1" l="1"/>
  <c r="N108" i="1" l="1"/>
  <c r="M108" i="1"/>
  <c r="K108" i="1"/>
  <c r="N112" i="1"/>
  <c r="M112" i="1"/>
  <c r="K112" i="1"/>
  <c r="N131" i="1"/>
  <c r="M131" i="1"/>
  <c r="K131" i="1"/>
  <c r="N130" i="1"/>
  <c r="M130" i="1"/>
  <c r="N116" i="1"/>
  <c r="M116" i="1"/>
  <c r="K116" i="1"/>
  <c r="J10" i="4" l="1"/>
  <c r="I4" i="5" s="1"/>
  <c r="I3" i="5" s="1"/>
  <c r="I10" i="4"/>
  <c r="H10" i="4"/>
  <c r="G10" i="4"/>
  <c r="H12" i="4" s="1"/>
  <c r="F10" i="4"/>
  <c r="E10" i="4"/>
  <c r="F12" i="4" s="1"/>
  <c r="D10" i="4"/>
  <c r="E12" i="4" s="1"/>
  <c r="C10" i="4"/>
  <c r="B10" i="4"/>
  <c r="C12" i="4" s="1"/>
  <c r="I4" i="6"/>
  <c r="I3" i="6" s="1"/>
  <c r="H4" i="6"/>
  <c r="H3" i="6" s="1"/>
  <c r="G4" i="6"/>
  <c r="G3" i="6" s="1"/>
  <c r="F4" i="6"/>
  <c r="E4" i="6"/>
  <c r="D4" i="6"/>
  <c r="C4" i="6"/>
  <c r="B4" i="6"/>
  <c r="B3" i="6" s="1"/>
  <c r="F3" i="6"/>
  <c r="E3" i="6"/>
  <c r="D3" i="6"/>
  <c r="C3" i="6"/>
  <c r="G4" i="5"/>
  <c r="F4" i="5"/>
  <c r="F3" i="5" s="1"/>
  <c r="E4" i="5"/>
  <c r="D4" i="5"/>
  <c r="D3" i="5" s="1"/>
  <c r="B4" i="5"/>
  <c r="B3" i="5" s="1"/>
  <c r="G3" i="5"/>
  <c r="E3" i="5"/>
  <c r="V230" i="1"/>
  <c r="U230" i="1"/>
  <c r="S230" i="1"/>
  <c r="O230" i="1"/>
  <c r="T230" i="1" s="1"/>
  <c r="K230" i="1"/>
  <c r="R230" i="1" s="1"/>
  <c r="H230" i="1"/>
  <c r="D230" i="1"/>
  <c r="E228" i="1" s="1"/>
  <c r="V229" i="1"/>
  <c r="U229" i="1"/>
  <c r="T229" i="1"/>
  <c r="S229" i="1"/>
  <c r="R229" i="1"/>
  <c r="V228" i="1"/>
  <c r="U228" i="1"/>
  <c r="T228" i="1"/>
  <c r="S228" i="1"/>
  <c r="R228" i="1"/>
  <c r="V227" i="1"/>
  <c r="U227" i="1"/>
  <c r="T227" i="1"/>
  <c r="S227" i="1"/>
  <c r="R227" i="1"/>
  <c r="V226" i="1"/>
  <c r="U226" i="1"/>
  <c r="T226" i="1"/>
  <c r="S226" i="1"/>
  <c r="R226" i="1"/>
  <c r="E226" i="1"/>
  <c r="V225" i="1"/>
  <c r="U225" i="1"/>
  <c r="T225" i="1"/>
  <c r="S225" i="1"/>
  <c r="R225" i="1"/>
  <c r="V224" i="1"/>
  <c r="U224" i="1"/>
  <c r="T224" i="1"/>
  <c r="S224" i="1"/>
  <c r="R224" i="1"/>
  <c r="E224" i="1"/>
  <c r="V223" i="1"/>
  <c r="U223" i="1"/>
  <c r="T223" i="1"/>
  <c r="S223" i="1"/>
  <c r="R223" i="1"/>
  <c r="V222" i="1"/>
  <c r="U222" i="1"/>
  <c r="T222" i="1"/>
  <c r="S222" i="1"/>
  <c r="R222" i="1"/>
  <c r="E222" i="1"/>
  <c r="V221" i="1"/>
  <c r="U221" i="1"/>
  <c r="T221" i="1"/>
  <c r="S221" i="1"/>
  <c r="R221" i="1"/>
  <c r="V220" i="1"/>
  <c r="U220" i="1"/>
  <c r="T220" i="1"/>
  <c r="S220" i="1"/>
  <c r="R220" i="1"/>
  <c r="V219" i="1"/>
  <c r="U219" i="1"/>
  <c r="T219" i="1"/>
  <c r="S219" i="1"/>
  <c r="R219" i="1"/>
  <c r="V218" i="1"/>
  <c r="U218" i="1"/>
  <c r="T218" i="1"/>
  <c r="S218" i="1"/>
  <c r="R218" i="1"/>
  <c r="O215" i="1"/>
  <c r="K215" i="1"/>
  <c r="L214" i="1" s="1"/>
  <c r="H215" i="1"/>
  <c r="D215" i="1"/>
  <c r="E214" i="1" s="1"/>
  <c r="V214" i="1"/>
  <c r="U214" i="1"/>
  <c r="T214" i="1"/>
  <c r="S214" i="1"/>
  <c r="R214" i="1"/>
  <c r="V213" i="1"/>
  <c r="U213" i="1"/>
  <c r="T213" i="1"/>
  <c r="S213" i="1"/>
  <c r="R213" i="1"/>
  <c r="O210" i="1"/>
  <c r="K210" i="1"/>
  <c r="L209" i="1" s="1"/>
  <c r="H210" i="1"/>
  <c r="D210" i="1"/>
  <c r="V209" i="1"/>
  <c r="U209" i="1"/>
  <c r="T209" i="1"/>
  <c r="S209" i="1"/>
  <c r="R209" i="1"/>
  <c r="V205" i="1"/>
  <c r="U205" i="1"/>
  <c r="S205" i="1"/>
  <c r="O205" i="1"/>
  <c r="K205" i="1"/>
  <c r="B4" i="3" s="1"/>
  <c r="H205" i="1"/>
  <c r="D205" i="1"/>
  <c r="B20" i="2" s="1"/>
  <c r="B10" i="2" s="1"/>
  <c r="V204" i="1"/>
  <c r="U204" i="1"/>
  <c r="T204" i="1"/>
  <c r="S204" i="1"/>
  <c r="R204" i="1"/>
  <c r="V201" i="1"/>
  <c r="U201" i="1"/>
  <c r="T201" i="1"/>
  <c r="S201" i="1"/>
  <c r="R201" i="1"/>
  <c r="L201" i="1"/>
  <c r="V200" i="1"/>
  <c r="U200" i="1"/>
  <c r="T200" i="1"/>
  <c r="S200" i="1"/>
  <c r="R200" i="1"/>
  <c r="V199" i="1"/>
  <c r="U199" i="1"/>
  <c r="T199" i="1"/>
  <c r="S199" i="1"/>
  <c r="R199" i="1"/>
  <c r="V198" i="1"/>
  <c r="U198" i="1"/>
  <c r="T198" i="1"/>
  <c r="S198" i="1"/>
  <c r="R198" i="1"/>
  <c r="V197" i="1"/>
  <c r="U197" i="1"/>
  <c r="T197" i="1"/>
  <c r="S197" i="1"/>
  <c r="R197" i="1"/>
  <c r="V196" i="1"/>
  <c r="U196" i="1"/>
  <c r="T196" i="1"/>
  <c r="S196" i="1"/>
  <c r="R196" i="1"/>
  <c r="V195" i="1"/>
  <c r="U195" i="1"/>
  <c r="T195" i="1"/>
  <c r="S195" i="1"/>
  <c r="R195" i="1"/>
  <c r="V194" i="1"/>
  <c r="U194" i="1"/>
  <c r="T194" i="1"/>
  <c r="S194" i="1"/>
  <c r="R194" i="1"/>
  <c r="V193" i="1"/>
  <c r="U193" i="1"/>
  <c r="T193" i="1"/>
  <c r="S193" i="1"/>
  <c r="R193" i="1"/>
  <c r="V192" i="1"/>
  <c r="U192" i="1"/>
  <c r="T192" i="1"/>
  <c r="S192" i="1"/>
  <c r="R192" i="1"/>
  <c r="V191" i="1"/>
  <c r="U191" i="1"/>
  <c r="T191" i="1"/>
  <c r="S191" i="1"/>
  <c r="R191" i="1"/>
  <c r="V190" i="1"/>
  <c r="U190" i="1"/>
  <c r="T190" i="1"/>
  <c r="S190" i="1"/>
  <c r="R190" i="1"/>
  <c r="V187" i="1"/>
  <c r="U187" i="1"/>
  <c r="T187" i="1"/>
  <c r="S187" i="1"/>
  <c r="R187" i="1"/>
  <c r="E187" i="1"/>
  <c r="V186" i="1"/>
  <c r="U186" i="1"/>
  <c r="T186" i="1"/>
  <c r="S186" i="1"/>
  <c r="R186" i="1"/>
  <c r="V182" i="1"/>
  <c r="U182" i="1"/>
  <c r="S182" i="1"/>
  <c r="O182" i="1"/>
  <c r="K182" i="1"/>
  <c r="B2" i="3" s="1"/>
  <c r="H182" i="1"/>
  <c r="D182" i="1"/>
  <c r="V181" i="1"/>
  <c r="U181" i="1"/>
  <c r="T181" i="1"/>
  <c r="S181" i="1"/>
  <c r="R181" i="1"/>
  <c r="V180" i="1"/>
  <c r="U180" i="1"/>
  <c r="T180" i="1"/>
  <c r="S180" i="1"/>
  <c r="R180" i="1"/>
  <c r="V179" i="1"/>
  <c r="U179" i="1"/>
  <c r="T179" i="1"/>
  <c r="S179" i="1"/>
  <c r="R179" i="1"/>
  <c r="V176" i="1"/>
  <c r="U176" i="1"/>
  <c r="S176" i="1"/>
  <c r="O176" i="1"/>
  <c r="K176" i="1"/>
  <c r="B5" i="3" s="1"/>
  <c r="H176" i="1"/>
  <c r="D176" i="1"/>
  <c r="E152" i="1" s="1"/>
  <c r="V175" i="1"/>
  <c r="U175" i="1"/>
  <c r="T175" i="1"/>
  <c r="S175" i="1"/>
  <c r="R175" i="1"/>
  <c r="V174" i="1"/>
  <c r="U174" i="1"/>
  <c r="T174" i="1"/>
  <c r="S174" i="1"/>
  <c r="R174" i="1"/>
  <c r="V173" i="1"/>
  <c r="U173" i="1"/>
  <c r="T173" i="1"/>
  <c r="S173" i="1"/>
  <c r="R173" i="1"/>
  <c r="V172" i="1"/>
  <c r="U172" i="1"/>
  <c r="T172" i="1"/>
  <c r="S172" i="1"/>
  <c r="R172" i="1"/>
  <c r="V171" i="1"/>
  <c r="U171" i="1"/>
  <c r="T171" i="1"/>
  <c r="S171" i="1"/>
  <c r="R171" i="1"/>
  <c r="V170" i="1"/>
  <c r="U170" i="1"/>
  <c r="T170" i="1"/>
  <c r="S170" i="1"/>
  <c r="R170" i="1"/>
  <c r="V169" i="1"/>
  <c r="U169" i="1"/>
  <c r="T169" i="1"/>
  <c r="S169" i="1"/>
  <c r="R169" i="1"/>
  <c r="V168" i="1"/>
  <c r="U168" i="1"/>
  <c r="T168" i="1"/>
  <c r="S168" i="1"/>
  <c r="R168" i="1"/>
  <c r="V167" i="1"/>
  <c r="U167" i="1"/>
  <c r="T167" i="1"/>
  <c r="S167" i="1"/>
  <c r="R167" i="1"/>
  <c r="V166" i="1"/>
  <c r="U166" i="1"/>
  <c r="T166" i="1"/>
  <c r="S166" i="1"/>
  <c r="R166" i="1"/>
  <c r="V165" i="1"/>
  <c r="U165" i="1"/>
  <c r="T165" i="1"/>
  <c r="S165" i="1"/>
  <c r="R165" i="1"/>
  <c r="V164" i="1"/>
  <c r="U164" i="1"/>
  <c r="T164" i="1"/>
  <c r="S164" i="1"/>
  <c r="R164" i="1"/>
  <c r="V163" i="1"/>
  <c r="U163" i="1"/>
  <c r="T163" i="1"/>
  <c r="S163" i="1"/>
  <c r="R163" i="1"/>
  <c r="V162" i="1"/>
  <c r="U162" i="1"/>
  <c r="T162" i="1"/>
  <c r="S162" i="1"/>
  <c r="R162" i="1"/>
  <c r="V161" i="1"/>
  <c r="U161" i="1"/>
  <c r="T161" i="1"/>
  <c r="S161" i="1"/>
  <c r="R161" i="1"/>
  <c r="V160" i="1"/>
  <c r="U160" i="1"/>
  <c r="T160" i="1"/>
  <c r="S160" i="1"/>
  <c r="R160" i="1"/>
  <c r="V159" i="1"/>
  <c r="U159" i="1"/>
  <c r="T159" i="1"/>
  <c r="S159" i="1"/>
  <c r="R159" i="1"/>
  <c r="V158" i="1"/>
  <c r="U158" i="1"/>
  <c r="T158" i="1"/>
  <c r="S158" i="1"/>
  <c r="R158" i="1"/>
  <c r="V157" i="1"/>
  <c r="U157" i="1"/>
  <c r="T157" i="1"/>
  <c r="S157" i="1"/>
  <c r="R157" i="1"/>
  <c r="V156" i="1"/>
  <c r="U156" i="1"/>
  <c r="T156" i="1"/>
  <c r="S156" i="1"/>
  <c r="R156" i="1"/>
  <c r="V155" i="1"/>
  <c r="U155" i="1"/>
  <c r="T155" i="1"/>
  <c r="S155" i="1"/>
  <c r="R155" i="1"/>
  <c r="V154" i="1"/>
  <c r="U154" i="1"/>
  <c r="T154" i="1"/>
  <c r="S154" i="1"/>
  <c r="R154" i="1"/>
  <c r="V153" i="1"/>
  <c r="U153" i="1"/>
  <c r="T153" i="1"/>
  <c r="S153" i="1"/>
  <c r="R153" i="1"/>
  <c r="V152" i="1"/>
  <c r="U152" i="1"/>
  <c r="T152" i="1"/>
  <c r="S152" i="1"/>
  <c r="R152" i="1"/>
  <c r="V151" i="1"/>
  <c r="U151" i="1"/>
  <c r="T151" i="1"/>
  <c r="S151" i="1"/>
  <c r="R151" i="1"/>
  <c r="V150" i="1"/>
  <c r="U150" i="1"/>
  <c r="T150" i="1"/>
  <c r="S150" i="1"/>
  <c r="R150" i="1"/>
  <c r="V149" i="1"/>
  <c r="U149" i="1"/>
  <c r="T149" i="1"/>
  <c r="S149" i="1"/>
  <c r="R149" i="1"/>
  <c r="V148" i="1"/>
  <c r="U148" i="1"/>
  <c r="T148" i="1"/>
  <c r="S148" i="1"/>
  <c r="R148" i="1"/>
  <c r="V147" i="1"/>
  <c r="U147" i="1"/>
  <c r="T147" i="1"/>
  <c r="S147" i="1"/>
  <c r="R147" i="1"/>
  <c r="V144" i="1"/>
  <c r="U144" i="1"/>
  <c r="S144" i="1"/>
  <c r="O144" i="1"/>
  <c r="K144" i="1"/>
  <c r="B6" i="3" s="1"/>
  <c r="H144" i="1"/>
  <c r="D144" i="1"/>
  <c r="E142" i="1" s="1"/>
  <c r="V143" i="1"/>
  <c r="U143" i="1"/>
  <c r="T143" i="1"/>
  <c r="S143" i="1"/>
  <c r="R143" i="1"/>
  <c r="V142" i="1"/>
  <c r="U142" i="1"/>
  <c r="T142" i="1"/>
  <c r="S142" i="1"/>
  <c r="R142" i="1"/>
  <c r="V141" i="1"/>
  <c r="U141" i="1"/>
  <c r="T141" i="1"/>
  <c r="S141" i="1"/>
  <c r="R141" i="1"/>
  <c r="V140" i="1"/>
  <c r="U140" i="1"/>
  <c r="T140" i="1"/>
  <c r="S140" i="1"/>
  <c r="R140" i="1"/>
  <c r="V139" i="1"/>
  <c r="U139" i="1"/>
  <c r="T139" i="1"/>
  <c r="S139" i="1"/>
  <c r="R139" i="1"/>
  <c r="V136" i="1"/>
  <c r="U136" i="1"/>
  <c r="S136" i="1"/>
  <c r="O136" i="1"/>
  <c r="H136" i="1"/>
  <c r="V135" i="1"/>
  <c r="U135" i="1"/>
  <c r="T135" i="1"/>
  <c r="N135" i="1"/>
  <c r="M135" i="1"/>
  <c r="G135" i="1"/>
  <c r="F135" i="1"/>
  <c r="D135" i="1"/>
  <c r="R135" i="1" s="1"/>
  <c r="V134" i="1"/>
  <c r="U134" i="1"/>
  <c r="T134" i="1"/>
  <c r="S134" i="1"/>
  <c r="R134" i="1"/>
  <c r="V133" i="1"/>
  <c r="U133" i="1"/>
  <c r="T133" i="1"/>
  <c r="G133" i="1"/>
  <c r="S133" i="1" s="1"/>
  <c r="F133" i="1"/>
  <c r="D133" i="1"/>
  <c r="V132" i="1"/>
  <c r="U132" i="1"/>
  <c r="T132" i="1"/>
  <c r="S132" i="1"/>
  <c r="R132" i="1"/>
  <c r="V131" i="1"/>
  <c r="U131" i="1"/>
  <c r="T131" i="1"/>
  <c r="G131" i="1"/>
  <c r="S131" i="1" s="1"/>
  <c r="F131" i="1"/>
  <c r="D131" i="1"/>
  <c r="V130" i="1"/>
  <c r="U130" i="1"/>
  <c r="T130" i="1"/>
  <c r="R130" i="1"/>
  <c r="G130" i="1"/>
  <c r="S130" i="1" s="1"/>
  <c r="F130" i="1"/>
  <c r="V129" i="1"/>
  <c r="U129" i="1"/>
  <c r="T129" i="1"/>
  <c r="G129" i="1"/>
  <c r="S129" i="1" s="1"/>
  <c r="F129" i="1"/>
  <c r="D129" i="1"/>
  <c r="V128" i="1"/>
  <c r="U128" i="1"/>
  <c r="T128" i="1"/>
  <c r="G128" i="1"/>
  <c r="S128" i="1" s="1"/>
  <c r="F128" i="1"/>
  <c r="D128" i="1"/>
  <c r="R128" i="1" s="1"/>
  <c r="V127" i="1"/>
  <c r="U127" i="1"/>
  <c r="T127" i="1"/>
  <c r="R127" i="1"/>
  <c r="N127" i="1"/>
  <c r="M127" i="1"/>
  <c r="G127" i="1"/>
  <c r="F127" i="1"/>
  <c r="V126" i="1"/>
  <c r="U126" i="1"/>
  <c r="T126" i="1"/>
  <c r="S126" i="1"/>
  <c r="R126" i="1"/>
  <c r="V125" i="1"/>
  <c r="U125" i="1"/>
  <c r="T125" i="1"/>
  <c r="S125" i="1"/>
  <c r="R125" i="1"/>
  <c r="V124" i="1"/>
  <c r="U124" i="1"/>
  <c r="T124" i="1"/>
  <c r="G124" i="1"/>
  <c r="S124" i="1" s="1"/>
  <c r="F124" i="1"/>
  <c r="D124" i="1"/>
  <c r="V123" i="1"/>
  <c r="U123" i="1"/>
  <c r="T123" i="1"/>
  <c r="S123" i="1"/>
  <c r="R123" i="1"/>
  <c r="V120" i="1"/>
  <c r="U120" i="1"/>
  <c r="T120" i="1"/>
  <c r="G120" i="1"/>
  <c r="S120" i="1" s="1"/>
  <c r="F120" i="1"/>
  <c r="D120" i="1"/>
  <c r="V119" i="1"/>
  <c r="U119" i="1"/>
  <c r="T119" i="1"/>
  <c r="G119" i="1"/>
  <c r="S119" i="1" s="1"/>
  <c r="F119" i="1"/>
  <c r="D119" i="1"/>
  <c r="R119" i="1" s="1"/>
  <c r="V118" i="1"/>
  <c r="U118" i="1"/>
  <c r="T118" i="1"/>
  <c r="G118" i="1"/>
  <c r="S118" i="1" s="1"/>
  <c r="F118" i="1"/>
  <c r="D118" i="1"/>
  <c r="R118" i="1" s="1"/>
  <c r="V117" i="1"/>
  <c r="U117" i="1"/>
  <c r="T117" i="1"/>
  <c r="G117" i="1"/>
  <c r="S117" i="1" s="1"/>
  <c r="F117" i="1"/>
  <c r="D117" i="1"/>
  <c r="V116" i="1"/>
  <c r="U116" i="1"/>
  <c r="T116" i="1"/>
  <c r="G116" i="1"/>
  <c r="S116" i="1" s="1"/>
  <c r="F116" i="1"/>
  <c r="D116" i="1"/>
  <c r="R116" i="1" s="1"/>
  <c r="V115" i="1"/>
  <c r="U115" i="1"/>
  <c r="T115" i="1"/>
  <c r="S115" i="1"/>
  <c r="R115" i="1"/>
  <c r="V114" i="1"/>
  <c r="U114" i="1"/>
  <c r="T114" i="1"/>
  <c r="S114" i="1"/>
  <c r="R114" i="1"/>
  <c r="V113" i="1"/>
  <c r="U113" i="1"/>
  <c r="T113" i="1"/>
  <c r="S113" i="1"/>
  <c r="R113" i="1"/>
  <c r="V112" i="1"/>
  <c r="U112" i="1"/>
  <c r="T112" i="1"/>
  <c r="S112" i="1"/>
  <c r="G112" i="1"/>
  <c r="F112" i="1"/>
  <c r="D112" i="1"/>
  <c r="R112" i="1" s="1"/>
  <c r="V111" i="1"/>
  <c r="U111" i="1"/>
  <c r="T111" i="1"/>
  <c r="S111" i="1"/>
  <c r="F111" i="1"/>
  <c r="D111" i="1"/>
  <c r="V110" i="1"/>
  <c r="U110" i="1"/>
  <c r="T110" i="1"/>
  <c r="G110" i="1"/>
  <c r="S110" i="1" s="1"/>
  <c r="F110" i="1"/>
  <c r="D110" i="1"/>
  <c r="V109" i="1"/>
  <c r="U109" i="1"/>
  <c r="T109" i="1"/>
  <c r="G109" i="1"/>
  <c r="S109" i="1" s="1"/>
  <c r="F109" i="1"/>
  <c r="D109" i="1"/>
  <c r="R109" i="1" s="1"/>
  <c r="V108" i="1"/>
  <c r="U108" i="1"/>
  <c r="T108" i="1"/>
  <c r="G108" i="1"/>
  <c r="S108" i="1" s="1"/>
  <c r="F108" i="1"/>
  <c r="D108" i="1"/>
  <c r="V107" i="1"/>
  <c r="U107" i="1"/>
  <c r="T107" i="1"/>
  <c r="G107" i="1"/>
  <c r="S107" i="1" s="1"/>
  <c r="F107" i="1"/>
  <c r="D107" i="1"/>
  <c r="V106" i="1"/>
  <c r="U106" i="1"/>
  <c r="T106" i="1"/>
  <c r="R106" i="1"/>
  <c r="G106" i="1"/>
  <c r="S106" i="1" s="1"/>
  <c r="F106" i="1"/>
  <c r="V102" i="1"/>
  <c r="U102" i="1"/>
  <c r="S102" i="1"/>
  <c r="O102" i="1"/>
  <c r="K102" i="1"/>
  <c r="L98" i="1" s="1"/>
  <c r="H102" i="1"/>
  <c r="D102" i="1"/>
  <c r="B15" i="2" s="1"/>
  <c r="B5" i="2" s="1"/>
  <c r="V101" i="1"/>
  <c r="U101" i="1"/>
  <c r="T101" i="1"/>
  <c r="S101" i="1"/>
  <c r="R101" i="1"/>
  <c r="V100" i="1"/>
  <c r="U100" i="1"/>
  <c r="T100" i="1"/>
  <c r="S100" i="1"/>
  <c r="R100" i="1"/>
  <c r="V99" i="1"/>
  <c r="U99" i="1"/>
  <c r="T99" i="1"/>
  <c r="S99" i="1"/>
  <c r="R99" i="1"/>
  <c r="V98" i="1"/>
  <c r="U98" i="1"/>
  <c r="T98" i="1"/>
  <c r="S98" i="1"/>
  <c r="R98" i="1"/>
  <c r="V97" i="1"/>
  <c r="U97" i="1"/>
  <c r="T97" i="1"/>
  <c r="S97" i="1"/>
  <c r="R97" i="1"/>
  <c r="V96" i="1"/>
  <c r="U96" i="1"/>
  <c r="T96" i="1"/>
  <c r="S96" i="1"/>
  <c r="R96" i="1"/>
  <c r="V95" i="1"/>
  <c r="U95" i="1"/>
  <c r="T95" i="1"/>
  <c r="S95" i="1"/>
  <c r="R95" i="1"/>
  <c r="V94" i="1"/>
  <c r="U94" i="1"/>
  <c r="T94" i="1"/>
  <c r="S94" i="1"/>
  <c r="R94" i="1"/>
  <c r="V93" i="1"/>
  <c r="U93" i="1"/>
  <c r="T93" i="1"/>
  <c r="S93" i="1"/>
  <c r="R93" i="1"/>
  <c r="V92" i="1"/>
  <c r="U92" i="1"/>
  <c r="T92" i="1"/>
  <c r="S92" i="1"/>
  <c r="R92" i="1"/>
  <c r="V91" i="1"/>
  <c r="U91" i="1"/>
  <c r="T91" i="1"/>
  <c r="S91" i="1"/>
  <c r="R91" i="1"/>
  <c r="V90" i="1"/>
  <c r="U90" i="1"/>
  <c r="T90" i="1"/>
  <c r="S90" i="1"/>
  <c r="R90" i="1"/>
  <c r="V89" i="1"/>
  <c r="U89" i="1"/>
  <c r="T89" i="1"/>
  <c r="S89" i="1"/>
  <c r="R89" i="1"/>
  <c r="V88" i="1"/>
  <c r="U88" i="1"/>
  <c r="T88" i="1"/>
  <c r="S88" i="1"/>
  <c r="R88" i="1"/>
  <c r="V87" i="1"/>
  <c r="U87" i="1"/>
  <c r="T87" i="1"/>
  <c r="S87" i="1"/>
  <c r="R87" i="1"/>
  <c r="V86" i="1"/>
  <c r="U86" i="1"/>
  <c r="T86" i="1"/>
  <c r="S86" i="1"/>
  <c r="R86" i="1"/>
  <c r="V85" i="1"/>
  <c r="U85" i="1"/>
  <c r="T85" i="1"/>
  <c r="S85" i="1"/>
  <c r="R85" i="1"/>
  <c r="V84" i="1"/>
  <c r="U84" i="1"/>
  <c r="T84" i="1"/>
  <c r="S84" i="1"/>
  <c r="R84" i="1"/>
  <c r="V83" i="1"/>
  <c r="U83" i="1"/>
  <c r="T83" i="1"/>
  <c r="S83" i="1"/>
  <c r="R83" i="1"/>
  <c r="V82" i="1"/>
  <c r="U82" i="1"/>
  <c r="T82" i="1"/>
  <c r="S82" i="1"/>
  <c r="R82" i="1"/>
  <c r="V81" i="1"/>
  <c r="U81" i="1"/>
  <c r="T81" i="1"/>
  <c r="S81" i="1"/>
  <c r="R81" i="1"/>
  <c r="V80" i="1"/>
  <c r="U80" i="1"/>
  <c r="T80" i="1"/>
  <c r="S80" i="1"/>
  <c r="R80" i="1"/>
  <c r="V79" i="1"/>
  <c r="U79" i="1"/>
  <c r="T79" i="1"/>
  <c r="S79" i="1"/>
  <c r="R79" i="1"/>
  <c r="V78" i="1"/>
  <c r="U78" i="1"/>
  <c r="T78" i="1"/>
  <c r="S78" i="1"/>
  <c r="R78" i="1"/>
  <c r="V77" i="1"/>
  <c r="U77" i="1"/>
  <c r="T77" i="1"/>
  <c r="S77" i="1"/>
  <c r="R77" i="1"/>
  <c r="V76" i="1"/>
  <c r="U76" i="1"/>
  <c r="T76" i="1"/>
  <c r="S76" i="1"/>
  <c r="R76" i="1"/>
  <c r="V75" i="1"/>
  <c r="U75" i="1"/>
  <c r="T75" i="1"/>
  <c r="S75" i="1"/>
  <c r="R75" i="1"/>
  <c r="V74" i="1"/>
  <c r="U74" i="1"/>
  <c r="T74" i="1"/>
  <c r="S74" i="1"/>
  <c r="R74" i="1"/>
  <c r="V73" i="1"/>
  <c r="U73" i="1"/>
  <c r="T73" i="1"/>
  <c r="S73" i="1"/>
  <c r="R73" i="1"/>
  <c r="V72" i="1"/>
  <c r="U72" i="1"/>
  <c r="T72" i="1"/>
  <c r="S72" i="1"/>
  <c r="R72" i="1"/>
  <c r="V71" i="1"/>
  <c r="U71" i="1"/>
  <c r="T71" i="1"/>
  <c r="S71" i="1"/>
  <c r="R71" i="1"/>
  <c r="U70" i="1"/>
  <c r="T70" i="1"/>
  <c r="S70" i="1"/>
  <c r="R70" i="1"/>
  <c r="V69" i="1"/>
  <c r="U69" i="1"/>
  <c r="T69" i="1"/>
  <c r="S69" i="1"/>
  <c r="R69" i="1"/>
  <c r="V68" i="1"/>
  <c r="U68" i="1"/>
  <c r="T68" i="1"/>
  <c r="S68" i="1"/>
  <c r="R68" i="1"/>
  <c r="V67" i="1"/>
  <c r="U67" i="1"/>
  <c r="T67" i="1"/>
  <c r="S67" i="1"/>
  <c r="R67" i="1"/>
  <c r="V66" i="1"/>
  <c r="U66" i="1"/>
  <c r="T66" i="1"/>
  <c r="S66" i="1"/>
  <c r="R66" i="1"/>
  <c r="V63" i="1"/>
  <c r="U63" i="1"/>
  <c r="S63" i="1"/>
  <c r="O63" i="1"/>
  <c r="K63" i="1"/>
  <c r="H63" i="1"/>
  <c r="D63" i="1"/>
  <c r="B14" i="2" s="1"/>
  <c r="B4" i="2" s="1"/>
  <c r="V62" i="1"/>
  <c r="U62" i="1"/>
  <c r="T62" i="1"/>
  <c r="S62" i="1"/>
  <c r="R62" i="1"/>
  <c r="V61" i="1"/>
  <c r="U61" i="1"/>
  <c r="T61" i="1"/>
  <c r="S61" i="1"/>
  <c r="R61" i="1"/>
  <c r="V60" i="1"/>
  <c r="U60" i="1"/>
  <c r="T60" i="1"/>
  <c r="S60" i="1"/>
  <c r="R60" i="1"/>
  <c r="V59" i="1"/>
  <c r="U59" i="1"/>
  <c r="T59" i="1"/>
  <c r="S59" i="1"/>
  <c r="R59" i="1"/>
  <c r="V58" i="1"/>
  <c r="U58" i="1"/>
  <c r="T58" i="1"/>
  <c r="S58" i="1"/>
  <c r="R58" i="1"/>
  <c r="V57" i="1"/>
  <c r="U57" i="1"/>
  <c r="T57" i="1"/>
  <c r="S57" i="1"/>
  <c r="R57" i="1"/>
  <c r="V56" i="1"/>
  <c r="U56" i="1"/>
  <c r="T56" i="1"/>
  <c r="S56" i="1"/>
  <c r="R56" i="1"/>
  <c r="V55" i="1"/>
  <c r="U55" i="1"/>
  <c r="T55" i="1"/>
  <c r="S55" i="1"/>
  <c r="R55" i="1"/>
  <c r="V54" i="1"/>
  <c r="U54" i="1"/>
  <c r="T54" i="1"/>
  <c r="S54" i="1"/>
  <c r="R54" i="1"/>
  <c r="V53" i="1"/>
  <c r="U53" i="1"/>
  <c r="T53" i="1"/>
  <c r="S53" i="1"/>
  <c r="R53" i="1"/>
  <c r="V52" i="1"/>
  <c r="U52" i="1"/>
  <c r="T52" i="1"/>
  <c r="S52" i="1"/>
  <c r="R52" i="1"/>
  <c r="V51" i="1"/>
  <c r="U51" i="1"/>
  <c r="T51" i="1"/>
  <c r="S51" i="1"/>
  <c r="R51" i="1"/>
  <c r="V50" i="1"/>
  <c r="U50" i="1"/>
  <c r="T50" i="1"/>
  <c r="S50" i="1"/>
  <c r="R50" i="1"/>
  <c r="V49" i="1"/>
  <c r="U49" i="1"/>
  <c r="T49" i="1"/>
  <c r="S49" i="1"/>
  <c r="R49" i="1"/>
  <c r="V48" i="1"/>
  <c r="U48" i="1"/>
  <c r="T48" i="1"/>
  <c r="S48" i="1"/>
  <c r="R48" i="1"/>
  <c r="V47" i="1"/>
  <c r="U47" i="1"/>
  <c r="T47" i="1"/>
  <c r="S47" i="1"/>
  <c r="R47" i="1"/>
  <c r="V46" i="1"/>
  <c r="U46" i="1"/>
  <c r="T46" i="1"/>
  <c r="S46" i="1"/>
  <c r="R46" i="1"/>
  <c r="V45" i="1"/>
  <c r="U45" i="1"/>
  <c r="T45" i="1"/>
  <c r="S45" i="1"/>
  <c r="R45" i="1"/>
  <c r="V44" i="1"/>
  <c r="U44" i="1"/>
  <c r="T44" i="1"/>
  <c r="S44" i="1"/>
  <c r="R44" i="1"/>
  <c r="V43" i="1"/>
  <c r="U43" i="1"/>
  <c r="T43" i="1"/>
  <c r="S43" i="1"/>
  <c r="R43" i="1"/>
  <c r="V42" i="1"/>
  <c r="U42" i="1"/>
  <c r="T42" i="1"/>
  <c r="S42" i="1"/>
  <c r="R42" i="1"/>
  <c r="V41" i="1"/>
  <c r="U41" i="1"/>
  <c r="T41" i="1"/>
  <c r="S41" i="1"/>
  <c r="R41" i="1"/>
  <c r="V40" i="1"/>
  <c r="U40" i="1"/>
  <c r="T40" i="1"/>
  <c r="S40" i="1"/>
  <c r="R40" i="1"/>
  <c r="V39" i="1"/>
  <c r="U39" i="1"/>
  <c r="T39" i="1"/>
  <c r="S39" i="1"/>
  <c r="R39" i="1"/>
  <c r="V38" i="1"/>
  <c r="U38" i="1"/>
  <c r="T38" i="1"/>
  <c r="S38" i="1"/>
  <c r="R38" i="1"/>
  <c r="V37" i="1"/>
  <c r="U37" i="1"/>
  <c r="T37" i="1"/>
  <c r="S37" i="1"/>
  <c r="R37" i="1"/>
  <c r="V36" i="1"/>
  <c r="U36" i="1"/>
  <c r="T36" i="1"/>
  <c r="S36" i="1"/>
  <c r="R36" i="1"/>
  <c r="V35" i="1"/>
  <c r="U35" i="1"/>
  <c r="T35" i="1"/>
  <c r="S35" i="1"/>
  <c r="R35" i="1"/>
  <c r="V34" i="1"/>
  <c r="U34" i="1"/>
  <c r="T34" i="1"/>
  <c r="S34" i="1"/>
  <c r="R34" i="1"/>
  <c r="V33" i="1"/>
  <c r="U33" i="1"/>
  <c r="T33" i="1"/>
  <c r="S33" i="1"/>
  <c r="R33" i="1"/>
  <c r="V32" i="1"/>
  <c r="U32" i="1"/>
  <c r="T32" i="1"/>
  <c r="S32" i="1"/>
  <c r="R32" i="1"/>
  <c r="V31" i="1"/>
  <c r="U31" i="1"/>
  <c r="T31" i="1"/>
  <c r="S31" i="1"/>
  <c r="R31" i="1"/>
  <c r="V30" i="1"/>
  <c r="U30" i="1"/>
  <c r="T30" i="1"/>
  <c r="S30" i="1"/>
  <c r="R30" i="1"/>
  <c r="V29" i="1"/>
  <c r="U29" i="1"/>
  <c r="T29" i="1"/>
  <c r="S29" i="1"/>
  <c r="R29" i="1"/>
  <c r="V28" i="1"/>
  <c r="U28" i="1"/>
  <c r="T28" i="1"/>
  <c r="S28" i="1"/>
  <c r="R28" i="1"/>
  <c r="V27" i="1"/>
  <c r="U27" i="1"/>
  <c r="T27" i="1"/>
  <c r="S27" i="1"/>
  <c r="R27" i="1"/>
  <c r="V24" i="1"/>
  <c r="U24" i="1"/>
  <c r="S24" i="1"/>
  <c r="O24" i="1"/>
  <c r="K24" i="1"/>
  <c r="L21" i="1" s="1"/>
  <c r="H24" i="1"/>
  <c r="D24" i="1"/>
  <c r="E14" i="1" s="1"/>
  <c r="V23" i="1"/>
  <c r="U23" i="1"/>
  <c r="T23" i="1"/>
  <c r="S23" i="1"/>
  <c r="R23" i="1"/>
  <c r="V22" i="1"/>
  <c r="U22" i="1"/>
  <c r="T22" i="1"/>
  <c r="S22" i="1"/>
  <c r="R22" i="1"/>
  <c r="V21" i="1"/>
  <c r="U21" i="1"/>
  <c r="T21" i="1"/>
  <c r="S21" i="1"/>
  <c r="R21" i="1"/>
  <c r="V20" i="1"/>
  <c r="U20" i="1"/>
  <c r="T20" i="1"/>
  <c r="S20" i="1"/>
  <c r="R20" i="1"/>
  <c r="V19" i="1"/>
  <c r="U19" i="1"/>
  <c r="T19" i="1"/>
  <c r="S19" i="1"/>
  <c r="R19" i="1"/>
  <c r="V18" i="1"/>
  <c r="U18" i="1"/>
  <c r="T18" i="1"/>
  <c r="S18" i="1"/>
  <c r="R18" i="1"/>
  <c r="V17" i="1"/>
  <c r="U17" i="1"/>
  <c r="T17" i="1"/>
  <c r="S17" i="1"/>
  <c r="R17" i="1"/>
  <c r="V16" i="1"/>
  <c r="U16" i="1"/>
  <c r="T16" i="1"/>
  <c r="S16" i="1"/>
  <c r="R16" i="1"/>
  <c r="V15" i="1"/>
  <c r="U15" i="1"/>
  <c r="T15" i="1"/>
  <c r="S15" i="1"/>
  <c r="R15" i="1"/>
  <c r="V14" i="1"/>
  <c r="U14" i="1"/>
  <c r="T14" i="1"/>
  <c r="S14" i="1"/>
  <c r="R14" i="1"/>
  <c r="V13" i="1"/>
  <c r="U13" i="1"/>
  <c r="T13" i="1"/>
  <c r="S13" i="1"/>
  <c r="R13" i="1"/>
  <c r="V12" i="1"/>
  <c r="U12" i="1"/>
  <c r="T12" i="1"/>
  <c r="S12" i="1"/>
  <c r="R12" i="1"/>
  <c r="V11" i="1"/>
  <c r="U11" i="1"/>
  <c r="T11" i="1"/>
  <c r="S11" i="1"/>
  <c r="R11" i="1"/>
  <c r="V10" i="1"/>
  <c r="U10" i="1"/>
  <c r="T10" i="1"/>
  <c r="S10" i="1"/>
  <c r="R10" i="1"/>
  <c r="V9" i="1"/>
  <c r="U9" i="1"/>
  <c r="T9" i="1"/>
  <c r="S9" i="1"/>
  <c r="R9" i="1"/>
  <c r="V8" i="1"/>
  <c r="U8" i="1"/>
  <c r="T8" i="1"/>
  <c r="S8" i="1"/>
  <c r="R8" i="1"/>
  <c r="E8" i="1"/>
  <c r="V7" i="1"/>
  <c r="U7" i="1"/>
  <c r="T7" i="1"/>
  <c r="S7" i="1"/>
  <c r="R7" i="1"/>
  <c r="V6" i="1"/>
  <c r="U6" i="1"/>
  <c r="T6" i="1"/>
  <c r="S6" i="1"/>
  <c r="R6" i="1"/>
  <c r="J12" i="4" l="1"/>
  <c r="E12" i="1"/>
  <c r="E10" i="1"/>
  <c r="E6" i="1"/>
  <c r="E18" i="1"/>
  <c r="E191" i="1"/>
  <c r="E213" i="1"/>
  <c r="E220" i="1"/>
  <c r="E154" i="1"/>
  <c r="L170" i="1"/>
  <c r="E80" i="1"/>
  <c r="E168" i="1"/>
  <c r="E158" i="1"/>
  <c r="E22" i="1"/>
  <c r="E45" i="1"/>
  <c r="E20" i="1"/>
  <c r="E148" i="1"/>
  <c r="E16" i="1"/>
  <c r="E162" i="1"/>
  <c r="E69" i="1"/>
  <c r="E100" i="1"/>
  <c r="E96" i="1"/>
  <c r="E72" i="1"/>
  <c r="E94" i="1"/>
  <c r="S135" i="1"/>
  <c r="E150" i="1"/>
  <c r="E166" i="1"/>
  <c r="E218" i="1"/>
  <c r="E229" i="1"/>
  <c r="E92" i="1"/>
  <c r="E90" i="1"/>
  <c r="E74" i="1"/>
  <c r="E66" i="1"/>
  <c r="E68" i="1"/>
  <c r="E140" i="1"/>
  <c r="T182" i="1"/>
  <c r="E86" i="1"/>
  <c r="E78" i="1"/>
  <c r="E98" i="1"/>
  <c r="E84" i="1"/>
  <c r="E67" i="1"/>
  <c r="E76" i="1"/>
  <c r="E82" i="1"/>
  <c r="L23" i="1"/>
  <c r="E89" i="1"/>
  <c r="E91" i="1"/>
  <c r="E93" i="1"/>
  <c r="E95" i="1"/>
  <c r="E97" i="1"/>
  <c r="E99" i="1"/>
  <c r="E101" i="1"/>
  <c r="E174" i="1"/>
  <c r="E219" i="1"/>
  <c r="E221" i="1"/>
  <c r="E223" i="1"/>
  <c r="E225" i="1"/>
  <c r="E227" i="1"/>
  <c r="L19" i="1"/>
  <c r="E71" i="1"/>
  <c r="E73" i="1"/>
  <c r="E75" i="1"/>
  <c r="E77" i="1"/>
  <c r="E79" i="1"/>
  <c r="E81" i="1"/>
  <c r="E83" i="1"/>
  <c r="E85" i="1"/>
  <c r="E87" i="1"/>
  <c r="E170" i="1"/>
  <c r="E172" i="1"/>
  <c r="L15" i="1"/>
  <c r="L7" i="1"/>
  <c r="E164" i="1"/>
  <c r="T136" i="1"/>
  <c r="L11" i="1"/>
  <c r="L139" i="1"/>
  <c r="L143" i="1"/>
  <c r="E160" i="1"/>
  <c r="L229" i="1"/>
  <c r="T63" i="1"/>
  <c r="L179" i="1"/>
  <c r="L181" i="1"/>
  <c r="E194" i="1"/>
  <c r="E196" i="1"/>
  <c r="E198" i="1"/>
  <c r="E200" i="1"/>
  <c r="T205" i="1"/>
  <c r="L6" i="1"/>
  <c r="L10" i="1"/>
  <c r="L14" i="1"/>
  <c r="L18" i="1"/>
  <c r="L22" i="1"/>
  <c r="E156" i="1"/>
  <c r="E186" i="1"/>
  <c r="E190" i="1"/>
  <c r="E192" i="1"/>
  <c r="E204" i="1"/>
  <c r="H206" i="1"/>
  <c r="H231" i="1" s="1"/>
  <c r="R215" i="1"/>
  <c r="D136" i="1"/>
  <c r="E120" i="1" s="1"/>
  <c r="T102" i="1"/>
  <c r="L142" i="1"/>
  <c r="T144" i="1"/>
  <c r="L174" i="1"/>
  <c r="T176" i="1"/>
  <c r="L180" i="1"/>
  <c r="E195" i="1"/>
  <c r="E197" i="1"/>
  <c r="E199" i="1"/>
  <c r="E201" i="1"/>
  <c r="C4" i="5"/>
  <c r="C3" i="5" s="1"/>
  <c r="D12" i="4"/>
  <c r="G12" i="4"/>
  <c r="H4" i="5"/>
  <c r="H3" i="5" s="1"/>
  <c r="I12" i="4"/>
  <c r="E88" i="1"/>
  <c r="L41" i="1"/>
  <c r="L61" i="1"/>
  <c r="L166" i="1"/>
  <c r="L162" i="1"/>
  <c r="L158" i="1"/>
  <c r="L154" i="1"/>
  <c r="L150" i="1"/>
  <c r="L147" i="1"/>
  <c r="L151" i="1"/>
  <c r="L155" i="1"/>
  <c r="L159" i="1"/>
  <c r="L163" i="1"/>
  <c r="L167" i="1"/>
  <c r="L171" i="1"/>
  <c r="L175" i="1"/>
  <c r="L76" i="1"/>
  <c r="L100" i="1"/>
  <c r="L57" i="1"/>
  <c r="L55" i="1"/>
  <c r="L53" i="1"/>
  <c r="L51" i="1"/>
  <c r="L59" i="1"/>
  <c r="L49" i="1"/>
  <c r="L47" i="1"/>
  <c r="E52" i="1"/>
  <c r="E54" i="1"/>
  <c r="E56" i="1"/>
  <c r="E58" i="1"/>
  <c r="E60" i="1"/>
  <c r="E62" i="1"/>
  <c r="E50" i="1"/>
  <c r="E48" i="1"/>
  <c r="E46" i="1"/>
  <c r="L190" i="1"/>
  <c r="L195" i="1"/>
  <c r="L186" i="1"/>
  <c r="L192" i="1"/>
  <c r="L193" i="1"/>
  <c r="L197" i="1"/>
  <c r="L221" i="1"/>
  <c r="L225" i="1"/>
  <c r="L219" i="1"/>
  <c r="L223" i="1"/>
  <c r="L227" i="1"/>
  <c r="L218" i="1"/>
  <c r="L220" i="1"/>
  <c r="L222" i="1"/>
  <c r="L224" i="1"/>
  <c r="L226" i="1"/>
  <c r="L228" i="1"/>
  <c r="L84" i="1"/>
  <c r="L92" i="1"/>
  <c r="L199" i="1"/>
  <c r="L69" i="1"/>
  <c r="E70" i="1"/>
  <c r="L72" i="1"/>
  <c r="L80" i="1"/>
  <c r="L96" i="1"/>
  <c r="L45" i="1"/>
  <c r="L148" i="1"/>
  <c r="L149" i="1"/>
  <c r="L152" i="1"/>
  <c r="L153" i="1"/>
  <c r="L156" i="1"/>
  <c r="L157" i="1"/>
  <c r="L160" i="1"/>
  <c r="L161" i="1"/>
  <c r="L164" i="1"/>
  <c r="L165" i="1"/>
  <c r="L168" i="1"/>
  <c r="L169" i="1"/>
  <c r="L172" i="1"/>
  <c r="L173" i="1"/>
  <c r="L67" i="1"/>
  <c r="L74" i="1"/>
  <c r="L78" i="1"/>
  <c r="L82" i="1"/>
  <c r="L86" i="1"/>
  <c r="L90" i="1"/>
  <c r="L94" i="1"/>
  <c r="R144" i="1"/>
  <c r="L140" i="1"/>
  <c r="L141" i="1"/>
  <c r="L27" i="1"/>
  <c r="E28" i="1"/>
  <c r="L29" i="1"/>
  <c r="E30" i="1"/>
  <c r="L31" i="1"/>
  <c r="E32" i="1"/>
  <c r="L33" i="1"/>
  <c r="E34" i="1"/>
  <c r="L35" i="1"/>
  <c r="E36" i="1"/>
  <c r="L37" i="1"/>
  <c r="E38" i="1"/>
  <c r="L39" i="1"/>
  <c r="E40" i="1"/>
  <c r="E42" i="1"/>
  <c r="L43" i="1"/>
  <c r="E44" i="1"/>
  <c r="L8" i="1"/>
  <c r="L9" i="1"/>
  <c r="L12" i="1"/>
  <c r="L13" i="1"/>
  <c r="L16" i="1"/>
  <c r="L17" i="1"/>
  <c r="L20" i="1"/>
  <c r="R176" i="1"/>
  <c r="E123" i="1"/>
  <c r="E128" i="1"/>
  <c r="E127" i="1"/>
  <c r="E119" i="1"/>
  <c r="B7" i="3"/>
  <c r="C15" i="2"/>
  <c r="C5" i="2" s="1"/>
  <c r="R108" i="1"/>
  <c r="R110" i="1"/>
  <c r="R111" i="1"/>
  <c r="R117" i="1"/>
  <c r="E7" i="1"/>
  <c r="E9" i="1"/>
  <c r="E11" i="1"/>
  <c r="E13" i="1"/>
  <c r="E15" i="1"/>
  <c r="E17" i="1"/>
  <c r="E19" i="1"/>
  <c r="E21" i="1"/>
  <c r="E23" i="1"/>
  <c r="B3" i="3"/>
  <c r="C13" i="2"/>
  <c r="C3" i="2" s="1"/>
  <c r="O206" i="1"/>
  <c r="O231" i="1" s="1"/>
  <c r="E27" i="1"/>
  <c r="L28" i="1"/>
  <c r="E29" i="1"/>
  <c r="L30" i="1"/>
  <c r="E31" i="1"/>
  <c r="L32" i="1"/>
  <c r="E33" i="1"/>
  <c r="L34" i="1"/>
  <c r="E35" i="1"/>
  <c r="L36" i="1"/>
  <c r="E37" i="1"/>
  <c r="L38" i="1"/>
  <c r="E39" i="1"/>
  <c r="L40" i="1"/>
  <c r="E41" i="1"/>
  <c r="L42" i="1"/>
  <c r="E43" i="1"/>
  <c r="L44" i="1"/>
  <c r="L46" i="1"/>
  <c r="E47" i="1"/>
  <c r="L48" i="1"/>
  <c r="E49" i="1"/>
  <c r="L50" i="1"/>
  <c r="E51" i="1"/>
  <c r="L52" i="1"/>
  <c r="E53" i="1"/>
  <c r="L54" i="1"/>
  <c r="E55" i="1"/>
  <c r="L56" i="1"/>
  <c r="E57" i="1"/>
  <c r="L58" i="1"/>
  <c r="E59" i="1"/>
  <c r="L60" i="1"/>
  <c r="E61" i="1"/>
  <c r="L62" i="1"/>
  <c r="R63" i="1"/>
  <c r="L66" i="1"/>
  <c r="L68" i="1"/>
  <c r="L70" i="1"/>
  <c r="L71" i="1"/>
  <c r="L73" i="1"/>
  <c r="L75" i="1"/>
  <c r="L77" i="1"/>
  <c r="L79" i="1"/>
  <c r="L81" i="1"/>
  <c r="L83" i="1"/>
  <c r="L85" i="1"/>
  <c r="L87" i="1"/>
  <c r="L89" i="1"/>
  <c r="L91" i="1"/>
  <c r="L93" i="1"/>
  <c r="L95" i="1"/>
  <c r="L97" i="1"/>
  <c r="L99" i="1"/>
  <c r="L101" i="1"/>
  <c r="R102" i="1"/>
  <c r="K136" i="1"/>
  <c r="L117" i="1" s="1"/>
  <c r="R107" i="1"/>
  <c r="R120" i="1"/>
  <c r="R124" i="1"/>
  <c r="S127" i="1"/>
  <c r="B19" i="2"/>
  <c r="B9" i="2" s="1"/>
  <c r="E181" i="1"/>
  <c r="E179" i="1"/>
  <c r="B13" i="2"/>
  <c r="B3" i="2" s="1"/>
  <c r="R24" i="1"/>
  <c r="T24" i="1"/>
  <c r="B8" i="3"/>
  <c r="C14" i="2"/>
  <c r="C4" i="2" s="1"/>
  <c r="L88" i="1"/>
  <c r="R129" i="1"/>
  <c r="R131" i="1"/>
  <c r="R133" i="1"/>
  <c r="B17" i="2"/>
  <c r="B7" i="2" s="1"/>
  <c r="E143" i="1"/>
  <c r="E141" i="1"/>
  <c r="E139" i="1"/>
  <c r="B18" i="2"/>
  <c r="B8" i="2" s="1"/>
  <c r="E175" i="1"/>
  <c r="E173" i="1"/>
  <c r="E171" i="1"/>
  <c r="E169" i="1"/>
  <c r="E167" i="1"/>
  <c r="E165" i="1"/>
  <c r="E163" i="1"/>
  <c r="E161" i="1"/>
  <c r="E159" i="1"/>
  <c r="E157" i="1"/>
  <c r="E155" i="1"/>
  <c r="E153" i="1"/>
  <c r="E151" i="1"/>
  <c r="E149" i="1"/>
  <c r="E147" i="1"/>
  <c r="E180" i="1"/>
  <c r="R182" i="1"/>
  <c r="L187" i="1"/>
  <c r="L191" i="1"/>
  <c r="L194" i="1"/>
  <c r="L196" i="1"/>
  <c r="L198" i="1"/>
  <c r="L200" i="1"/>
  <c r="L204" i="1"/>
  <c r="R205" i="1"/>
  <c r="E209" i="1"/>
  <c r="L213" i="1"/>
  <c r="C17" i="2"/>
  <c r="C7" i="2" s="1"/>
  <c r="C18" i="2"/>
  <c r="C8" i="2" s="1"/>
  <c r="C19" i="2"/>
  <c r="C9" i="2" s="1"/>
  <c r="C20" i="2"/>
  <c r="C10" i="2" s="1"/>
  <c r="E106" i="1" l="1"/>
  <c r="E110" i="1"/>
  <c r="E124" i="1"/>
  <c r="D206" i="1"/>
  <c r="E63" i="1" s="1"/>
  <c r="E117" i="1"/>
  <c r="E133" i="1"/>
  <c r="E125" i="1"/>
  <c r="E108" i="1"/>
  <c r="E109" i="1"/>
  <c r="E135" i="1"/>
  <c r="E131" i="1"/>
  <c r="E112" i="1"/>
  <c r="E126" i="1"/>
  <c r="E113" i="1"/>
  <c r="E130" i="1"/>
  <c r="E129" i="1"/>
  <c r="E115" i="1"/>
  <c r="E132" i="1"/>
  <c r="E116" i="1"/>
  <c r="B16" i="2"/>
  <c r="B6" i="2" s="1"/>
  <c r="E118" i="1"/>
  <c r="E114" i="1"/>
  <c r="E107" i="1"/>
  <c r="L131" i="1"/>
  <c r="K206" i="1"/>
  <c r="L136" i="1" s="1"/>
  <c r="L124" i="1"/>
  <c r="L108" i="1"/>
  <c r="B9" i="3"/>
  <c r="C16" i="2"/>
  <c r="C6" i="2" s="1"/>
  <c r="L134" i="1"/>
  <c r="L127" i="1"/>
  <c r="L135" i="1"/>
  <c r="L132" i="1"/>
  <c r="L130" i="1"/>
  <c r="R136" i="1"/>
  <c r="L128" i="1"/>
  <c r="L126" i="1"/>
  <c r="L125" i="1"/>
  <c r="L123" i="1"/>
  <c r="L119" i="1"/>
  <c r="L115" i="1"/>
  <c r="L113" i="1"/>
  <c r="L106" i="1"/>
  <c r="L118" i="1"/>
  <c r="L116" i="1"/>
  <c r="L114" i="1"/>
  <c r="L112" i="1"/>
  <c r="L109" i="1"/>
  <c r="L107" i="1"/>
  <c r="L133" i="1"/>
  <c r="L129" i="1"/>
  <c r="L120" i="1"/>
  <c r="L110" i="1"/>
  <c r="L111" i="1"/>
  <c r="E182" i="1" l="1"/>
  <c r="E102" i="1"/>
  <c r="E176" i="1"/>
  <c r="E144" i="1"/>
  <c r="E205" i="1"/>
  <c r="D231" i="1"/>
  <c r="E24" i="1"/>
  <c r="E136" i="1"/>
  <c r="K231" i="1"/>
  <c r="R206" i="1"/>
  <c r="L182" i="1"/>
  <c r="L24" i="1"/>
  <c r="L176" i="1"/>
  <c r="L144" i="1"/>
  <c r="L63" i="1"/>
  <c r="L102" i="1"/>
  <c r="L205" i="1"/>
</calcChain>
</file>

<file path=xl/sharedStrings.xml><?xml version="1.0" encoding="utf-8"?>
<sst xmlns="http://schemas.openxmlformats.org/spreadsheetml/2006/main" count="477" uniqueCount="303">
  <si>
    <t>WEEKLY VALUATION REPORT OF COLLECTIVE INVESTMENT SCHEMES AS AT WEEK ENDED FRIDAY, NOVEMBER 8, 2024</t>
  </si>
  <si>
    <t>NAV, Unit Price and Yield as at Week Ended November 1, 2024</t>
  </si>
  <si>
    <t>NAV, Unit Price and Yield as at Week Ended November 8, 2024</t>
  </si>
  <si>
    <t>% Change (Current from Previous)</t>
  </si>
  <si>
    <t>Difference</t>
  </si>
  <si>
    <t>S/N</t>
  </si>
  <si>
    <t>FUND</t>
  </si>
  <si>
    <t>FUND MANAGER</t>
  </si>
  <si>
    <t>NAV (N)</t>
  </si>
  <si>
    <t>% to Total</t>
  </si>
  <si>
    <t>Bid Price (N)</t>
  </si>
  <si>
    <t>Offer Price (N)</t>
  </si>
  <si>
    <t>Unitholders</t>
  </si>
  <si>
    <t>Yield (WTD)</t>
  </si>
  <si>
    <t>Yield  (YTD)</t>
  </si>
  <si>
    <t>NAV (%)</t>
  </si>
  <si>
    <t>Unit Price (%)</t>
  </si>
  <si>
    <t>Uniholders</t>
  </si>
  <si>
    <t>Yield (%) WYD</t>
  </si>
  <si>
    <t>Yield (%) YTD</t>
  </si>
  <si>
    <t>EQUITY BASED FUNDS</t>
  </si>
  <si>
    <t>Afrinvest Equity Fund</t>
  </si>
  <si>
    <t>Afrinvest Asset Mgt Ltd.</t>
  </si>
  <si>
    <t>Anchoria Equity Fund</t>
  </si>
  <si>
    <t>Anchoria Asset Management Limited</t>
  </si>
  <si>
    <t>ARM Aggressive Growth Fund</t>
  </si>
  <si>
    <t>ARM Investment Managers Limited</t>
  </si>
  <si>
    <t>AXA Mansard Equity Income Fund</t>
  </si>
  <si>
    <t>AXA Mansard Investments Limited</t>
  </si>
  <si>
    <t>CardinalStone Equity Fund</t>
  </si>
  <si>
    <t>CardinalStone Asset Mgt. Limited</t>
  </si>
  <si>
    <t>Cowry Equity Fund</t>
  </si>
  <si>
    <t>Cowry Treasurers Limited</t>
  </si>
  <si>
    <t>FBN Nigeria Smart Beta Equity Fund</t>
  </si>
  <si>
    <t>FBNQuest Asset Management Limited</t>
  </si>
  <si>
    <t>Frontier Fund</t>
  </si>
  <si>
    <t>SCM Capital Limited</t>
  </si>
  <si>
    <t>Futureview Equity Fund</t>
  </si>
  <si>
    <t>Futureview Asset Management Limited</t>
  </si>
  <si>
    <t>Guaranty Trust Equity Income Fund</t>
  </si>
  <si>
    <t>Guaranty Trust Fund Managers</t>
  </si>
  <si>
    <t>Halo Equity Fund</t>
  </si>
  <si>
    <t>Halo Asset Management Limited</t>
  </si>
  <si>
    <t>Legacy Equity Fund</t>
  </si>
  <si>
    <t>FCMB Asset Management Limited</t>
  </si>
  <si>
    <t>Meristem Equity Market Fund</t>
  </si>
  <si>
    <t>Meristem Wealth Management Limited</t>
  </si>
  <si>
    <t>PACAM Equity Fund</t>
  </si>
  <si>
    <t>PAC Asset Management Limited</t>
  </si>
  <si>
    <t>Paramount Equity Fund</t>
  </si>
  <si>
    <t>Chapel Hill Denham Mgt. Limited</t>
  </si>
  <si>
    <t>Stanbic IBTC Aggressive Fund (Sub Fund)</t>
  </si>
  <si>
    <t>Stanbic IBTC Asset Mgt. Limited</t>
  </si>
  <si>
    <t>Stanbic IBTC Nigerian Equity Fund</t>
  </si>
  <si>
    <t>United Capital Equity Fund</t>
  </si>
  <si>
    <t>United Capital Asset Mgt. Ltd</t>
  </si>
  <si>
    <t>Sub-Total</t>
  </si>
  <si>
    <t>MONEY MARKET FUNDS</t>
  </si>
  <si>
    <t>Afrinvest Plutus Fund</t>
  </si>
  <si>
    <t>AIICO Money Market Fund</t>
  </si>
  <si>
    <t>AIICO Capital Ltd</t>
  </si>
  <si>
    <t>Anchoria Money Market Fund</t>
  </si>
  <si>
    <t>ARM Money Market Fund</t>
  </si>
  <si>
    <t>AXA Mansard Money Market Fund</t>
  </si>
  <si>
    <t>Chapel Hill Denham Money Market Fund</t>
  </si>
  <si>
    <t>Comercio Partners Money Market Fund</t>
  </si>
  <si>
    <t>Comercio Partners Asset Management Limited</t>
  </si>
  <si>
    <t>Coral Money Market Fund</t>
  </si>
  <si>
    <t>FSDH Asset Management Ltd</t>
  </si>
  <si>
    <t>Cordros Money Market Fund</t>
  </si>
  <si>
    <t>Cordros Asset Management Limited</t>
  </si>
  <si>
    <t>Core Investment Money Market Fund</t>
  </si>
  <si>
    <t>Core Asset Management Limited</t>
  </si>
  <si>
    <t>Coronation Money Market Fund</t>
  </si>
  <si>
    <t>Coronation Asset Management Ltd</t>
  </si>
  <si>
    <t>EDC Money Market Fund Class A</t>
  </si>
  <si>
    <t>EDC Fund Management Limited</t>
  </si>
  <si>
    <t>EDC Money Market Fund Class B</t>
  </si>
  <si>
    <t>Emerging Africa Money Market Fund</t>
  </si>
  <si>
    <t>Emerging Africa Asset Management Limited</t>
  </si>
  <si>
    <t>FBN Money Market Fund</t>
  </si>
  <si>
    <t>First Ally Money Market Fund</t>
  </si>
  <si>
    <t>First Ally Asset Management Limited</t>
  </si>
  <si>
    <t>GDL Money Market Fund</t>
  </si>
  <si>
    <t>Growth &amp; Development Asset Management Limited</t>
  </si>
  <si>
    <t>Greenwich Plus Money Market Fund</t>
  </si>
  <si>
    <t>Greenwich Asset Management Limited</t>
  </si>
  <si>
    <t>GTI  Money Market Fund</t>
  </si>
  <si>
    <t>GTI Asset Management &amp; Trust Limited</t>
  </si>
  <si>
    <t>Guaranty Trust Money Market Fund</t>
  </si>
  <si>
    <t>Legacy Money Market Fund</t>
  </si>
  <si>
    <t>Meristem Money Market Fund</t>
  </si>
  <si>
    <t>Norrenberger Money Market Fund</t>
  </si>
  <si>
    <t>Norrenberger Investment &amp; Capital Mgt. Ltd.</t>
  </si>
  <si>
    <t>Nova Prime Money Market Fund</t>
  </si>
  <si>
    <t xml:space="preserve">Novambl Asset Management </t>
  </si>
  <si>
    <t>PACAM Money Market Fund</t>
  </si>
  <si>
    <t>Page Money Market Fund</t>
  </si>
  <si>
    <t>Page Asset Management Limited</t>
  </si>
  <si>
    <t>RMBN Money Market Fund</t>
  </si>
  <si>
    <t>RMB Nigeria Asset Management Ltd.</t>
  </si>
  <si>
    <t>RT Briscoe Savings &amp; Investment Fund</t>
  </si>
  <si>
    <t>DLM Asset Management Limited</t>
  </si>
  <si>
    <t>Stanbic IBTC Money Market Fund</t>
  </si>
  <si>
    <t>STL Money Market Fund</t>
  </si>
  <si>
    <t>STL Asset Management Limited</t>
  </si>
  <si>
    <t>Trustbanc Money Market Fund</t>
  </si>
  <si>
    <t>Trustbanc Asset Management Limited</t>
  </si>
  <si>
    <t>United Capital Money Market Fund</t>
  </si>
  <si>
    <t>ValuAlliance Money Market  Fund</t>
  </si>
  <si>
    <t>ValuAlliance Asset Management Limited</t>
  </si>
  <si>
    <t>Vetiva Money Market Fund</t>
  </si>
  <si>
    <t>Vetiva Fund Managers</t>
  </si>
  <si>
    <t>Zedcrest Money Market Fund</t>
  </si>
  <si>
    <t>Zedcrest Investment Managers Limited</t>
  </si>
  <si>
    <t>Zenith Money Market Fund</t>
  </si>
  <si>
    <t>Zenith Asset Management Ltd</t>
  </si>
  <si>
    <t>BOND/FIXED INCOME FUNDS</t>
  </si>
  <si>
    <t>Anchoria Fixed Income Fund</t>
  </si>
  <si>
    <t>ARM Fixed Income Fund</t>
  </si>
  <si>
    <t>ARM Short Term Bond Fund</t>
  </si>
  <si>
    <t>AVA GAM Fixed Income Fund</t>
  </si>
  <si>
    <t>AVA Global Asset Managers Limited</t>
  </si>
  <si>
    <t>CardinalStone Fixed Income Alpha Fund</t>
  </si>
  <si>
    <t>CEAT Fixed Income Fund</t>
  </si>
  <si>
    <t>Capital Express Asset and Trust Limited</t>
  </si>
  <si>
    <t>Comercio Partners Fixed Income Fund</t>
  </si>
  <si>
    <t>Coral Income Fund</t>
  </si>
  <si>
    <t>Cordros Fixed Income Fund</t>
  </si>
  <si>
    <t>Coronation Fixed Income Fund</t>
  </si>
  <si>
    <t xml:space="preserve">Coronation Asset Management </t>
  </si>
  <si>
    <t>Cowry Fixed Income Fund</t>
  </si>
  <si>
    <t>DLM Fixed Income Fund</t>
  </si>
  <si>
    <t>EDC Fixed Income Fund</t>
  </si>
  <si>
    <t>Emerging Africa Bond Fund</t>
  </si>
  <si>
    <t>FBN Bond Fund</t>
  </si>
  <si>
    <t>GDL Income Fund</t>
  </si>
  <si>
    <t>Guaranty Trust Fixed Income Fund</t>
  </si>
  <si>
    <t>Lead Fixed Income Fund</t>
  </si>
  <si>
    <t>Lead Asset Management Limited</t>
  </si>
  <si>
    <t>Legacy Debt Fund</t>
  </si>
  <si>
    <t>Meristem Fixed Income Fund</t>
  </si>
  <si>
    <t>Nigeria Bond Fund</t>
  </si>
  <si>
    <t>Nigeria International Debt Fund</t>
  </si>
  <si>
    <t>Norrenberger Turbo Fund (NTF)</t>
  </si>
  <si>
    <t>PACAM Fixed Income Fund</t>
  </si>
  <si>
    <t>Radix Horizon Fund</t>
  </si>
  <si>
    <t>Radix Capital Partners Limited</t>
  </si>
  <si>
    <t>SFS Fixed Income Fund</t>
  </si>
  <si>
    <t>SFS Capital Nigeria Ltd</t>
  </si>
  <si>
    <t>Stanbic IBTC Absolute Fund (Sub Fund)</t>
  </si>
  <si>
    <t>Stanbic IBTC Bond Fund</t>
  </si>
  <si>
    <t>Stanbic IBTC Conservative Fund (Sub Fund)</t>
  </si>
  <si>
    <t>Stanbic IBTC Enhanced Short-Term Fixed Income Fund</t>
  </si>
  <si>
    <t>Stanbic IBTC Guaranteed Investment Fund</t>
  </si>
  <si>
    <t>United Capital Fixed Income Fund</t>
  </si>
  <si>
    <t>United Capital Stable Income Fund</t>
  </si>
  <si>
    <t>Utica Custodian Assured Fixed Income Fund</t>
  </si>
  <si>
    <t>Utica Capital Limited</t>
  </si>
  <si>
    <t>Zedcrest Fixed Income Fund</t>
  </si>
  <si>
    <t>Zenith Income Fund</t>
  </si>
  <si>
    <t>DOLLAR FUNDS</t>
  </si>
  <si>
    <t>EUROBONDS</t>
  </si>
  <si>
    <t>Afrinvest Dollar Fund</t>
  </si>
  <si>
    <t>AIICO Eurobond Fund</t>
  </si>
  <si>
    <t>ARM Eurobond Fund</t>
  </si>
  <si>
    <t>CardinalStone Dollar Fund</t>
  </si>
  <si>
    <t>Comercio Partners Dollar Fund</t>
  </si>
  <si>
    <t>Cowry Eurobond Fund</t>
  </si>
  <si>
    <t>EDC Dollar Fund</t>
  </si>
  <si>
    <t>Emerging Africa Eurobond Fund</t>
  </si>
  <si>
    <t>FBN Dollar Fund (Retail)</t>
  </si>
  <si>
    <t>FBN Specialized Dollar Fund</t>
  </si>
  <si>
    <t>Futureview Dollar Fund</t>
  </si>
  <si>
    <t>Legacy USD Bond Fund</t>
  </si>
  <si>
    <t>Norrenberger Dollar Fund</t>
  </si>
  <si>
    <t>0..01%</t>
  </si>
  <si>
    <t>PACAM Eurobond Fund</t>
  </si>
  <si>
    <t>United Capital Nigerian Eurobond Fund</t>
  </si>
  <si>
    <t>FIXED INCOME</t>
  </si>
  <si>
    <t>AVA GAM Fixed Income Dollar Fund</t>
  </si>
  <si>
    <t>AXA Mansard Dollar Bond Fund</t>
  </si>
  <si>
    <t>Cordros Dollar Fund</t>
  </si>
  <si>
    <t>FSDH Dollar Fund</t>
  </si>
  <si>
    <t>Guaranty Dollar Fund</t>
  </si>
  <si>
    <t>Lead Dollar Fixed Income Fund</t>
  </si>
  <si>
    <t>Meristem Dollar Fund</t>
  </si>
  <si>
    <t>Nigeria Dollar Income Fund</t>
  </si>
  <si>
    <t>Nova Dollar Fixed Income Fund</t>
  </si>
  <si>
    <t>Stanbic IBTC Dollar Fund</t>
  </si>
  <si>
    <t>United Capital Global Fixed Income Fund</t>
  </si>
  <si>
    <t>RMBN Dollar Fixed Income Fund</t>
  </si>
  <si>
    <t>Zedcrest Dollar Fund</t>
  </si>
  <si>
    <t>REAL ESTATE INVESTMENT TRUSTS</t>
  </si>
  <si>
    <t>Housing Solution Fund</t>
  </si>
  <si>
    <t>Fundco Capital Managers Limited</t>
  </si>
  <si>
    <t>Nigeria Real Estate Investment Trust</t>
  </si>
  <si>
    <t>SFS Real Estate Investment Trust Fund</t>
  </si>
  <si>
    <t>Union Homes REITS</t>
  </si>
  <si>
    <t>UPDC Real Estate Investment Trust</t>
  </si>
  <si>
    <t>BALANCED FUNDS</t>
  </si>
  <si>
    <t>AIICO Balanced Fund</t>
  </si>
  <si>
    <t>Alpha Morgan Balanced Fund</t>
  </si>
  <si>
    <t>Alpha Morgan Capital Managers Limited</t>
  </si>
  <si>
    <t>ARM Discovery Balanced Fund</t>
  </si>
  <si>
    <t>Balanced Strategy Fund</t>
  </si>
  <si>
    <t>Capital Express Balanced Fund</t>
  </si>
  <si>
    <t>Coral Balanced Fund</t>
  </si>
  <si>
    <t>Cordros Milestone Fund</t>
  </si>
  <si>
    <t>Core Value Mixed Fund</t>
  </si>
  <si>
    <t>Coronation Balanced Fund</t>
  </si>
  <si>
    <t>Cowry Balanced Fund</t>
  </si>
  <si>
    <t>EDC Balanced Fund</t>
  </si>
  <si>
    <t>Emerging Africa Balanced-Diversity Fund</t>
  </si>
  <si>
    <t>FBN Balanced Fund</t>
  </si>
  <si>
    <t>GDL Canary Growth Fund</t>
  </si>
  <si>
    <t>Greenwich Balanced Fund</t>
  </si>
  <si>
    <t>GTI Balanced Fund</t>
  </si>
  <si>
    <t>Guaranty Trust Balanced Fund</t>
  </si>
  <si>
    <t>Hillcrest Balanced Fund</t>
  </si>
  <si>
    <t>Hillcrest Capital Management Limited</t>
  </si>
  <si>
    <t>Lead Balanced Fund</t>
  </si>
  <si>
    <t>Nigeria Energy Sector Fund</t>
  </si>
  <si>
    <t>Nova Hybrid Balanced Fund</t>
  </si>
  <si>
    <t>PACAM Balanced Fund</t>
  </si>
  <si>
    <t>Stanbic IBTC Balanced Fund</t>
  </si>
  <si>
    <t>STL Balanced Fund</t>
  </si>
  <si>
    <t>The Nigeria Football Fund</t>
  </si>
  <si>
    <t>United Capital Balanced Fund</t>
  </si>
  <si>
    <t>United Capital Wealth for Women Fund</t>
  </si>
  <si>
    <t>ValuAlliance Value Fund</t>
  </si>
  <si>
    <t>Women's Balanced Fund</t>
  </si>
  <si>
    <t>ETHICAL FUNDS</t>
  </si>
  <si>
    <t>ARM Ethical Fund</t>
  </si>
  <si>
    <t>ESG Impact Fund</t>
  </si>
  <si>
    <t>Zenith Asset Management Ltd.</t>
  </si>
  <si>
    <t>Stanbic IBTC Ethical Fund</t>
  </si>
  <si>
    <t>SHARI'AH COMPLIANT FUNDS</t>
  </si>
  <si>
    <t>EQUITIES</t>
  </si>
  <si>
    <t>Lotus Halal Investment Fund</t>
  </si>
  <si>
    <t>Lotus Capital Limited</t>
  </si>
  <si>
    <t>Stanbic IBTC Imaan Fund</t>
  </si>
  <si>
    <t>CapitalTrust Halal Fixed Income Fund</t>
  </si>
  <si>
    <t>CapitalTrust Investments &amp; Asset Management Ltd.</t>
  </si>
  <si>
    <t xml:space="preserve">  1,041.63 </t>
  </si>
  <si>
    <t>Cordros Halal Fixed Income Fund</t>
  </si>
  <si>
    <t>EDC Halal Fund</t>
  </si>
  <si>
    <t>Emerging Africa Halal Fund</t>
  </si>
  <si>
    <t>FBN Halal Fund</t>
  </si>
  <si>
    <t>FSDH Halal Fund</t>
  </si>
  <si>
    <t>Lotus Halal Fixed Income Fund</t>
  </si>
  <si>
    <t>Marble Halal Commodities Fund</t>
  </si>
  <si>
    <t xml:space="preserve">Marble Capital Limited </t>
  </si>
  <si>
    <t>Marble Halal Fixed Income Fund</t>
  </si>
  <si>
    <t>Norrenberger Islamic Fund</t>
  </si>
  <si>
    <t>Stanbic IBTC Shariah Fixed Income Fund</t>
  </si>
  <si>
    <t>United Capital Sukuk Fund</t>
  </si>
  <si>
    <t>BALANCED</t>
  </si>
  <si>
    <t>Lotus Waqf (Endowment) Fund</t>
  </si>
  <si>
    <t>Mutual Funds Total</t>
  </si>
  <si>
    <t>SPECIALISED FUNDS</t>
  </si>
  <si>
    <t>Clean Energy Fund</t>
  </si>
  <si>
    <t>INFRASTRUCTURE FUNDS</t>
  </si>
  <si>
    <t>Nigeria Infrastructure Debt Fund (NIDF)</t>
  </si>
  <si>
    <t>Chapel Hill Denham Management Limited</t>
  </si>
  <si>
    <t>United Capital Infrastructure Fund</t>
  </si>
  <si>
    <t>Infrastructure Funds Total</t>
  </si>
  <si>
    <t>EXCHANGE TRADED FUNDS</t>
  </si>
  <si>
    <t>Greenwich ALPHA ETF</t>
  </si>
  <si>
    <t>Lotus Halal ETF</t>
  </si>
  <si>
    <t>Meristem Growth ETF</t>
  </si>
  <si>
    <t>Meristem Value ETF</t>
  </si>
  <si>
    <t>New Gold ETF</t>
  </si>
  <si>
    <t>New Gold Managers (Proprietary) Ltd</t>
  </si>
  <si>
    <t>SIAML ETF 40</t>
  </si>
  <si>
    <t>Stanbic IBTC Asset Mgt.Limited</t>
  </si>
  <si>
    <t>Stanbic IBTC ETF 30 Fund</t>
  </si>
  <si>
    <t>VCG ETF</t>
  </si>
  <si>
    <t>Vetiva Fund Managers Limited</t>
  </si>
  <si>
    <t>VETBANK ETF</t>
  </si>
  <si>
    <t>Vetiva S &amp; P Nig. Sovereign Bond ETF</t>
  </si>
  <si>
    <t>VG 30 ETF</t>
  </si>
  <si>
    <t>VI ETF</t>
  </si>
  <si>
    <t>ETF Total</t>
  </si>
  <si>
    <t>Grand Total</t>
  </si>
  <si>
    <t>Note:</t>
  </si>
  <si>
    <t>FUNDS</t>
  </si>
  <si>
    <t>Week Ended November 1, 2024</t>
  </si>
  <si>
    <t>BONDS/FIXED INCOME FUNDS</t>
  </si>
  <si>
    <t>REAL ESTATE INVESTMENT TRUST</t>
  </si>
  <si>
    <t>SHARI'AH COMPLAINT FUNDS</t>
  </si>
  <si>
    <t>dayo</t>
  </si>
  <si>
    <t>DATE</t>
  </si>
  <si>
    <t>TOTAL NAV</t>
  </si>
  <si>
    <t>ETFs AGGREGATE</t>
  </si>
  <si>
    <t>TOTAL</t>
  </si>
  <si>
    <t>MOVING AVERAGE:</t>
  </si>
  <si>
    <t>-</t>
  </si>
  <si>
    <t>EXCHANGE TRADED FUNDS (ETFs)</t>
  </si>
  <si>
    <r>
      <t>US$/NG</t>
    </r>
    <r>
      <rPr>
        <b/>
        <strike/>
        <sz val="6"/>
        <color theme="0"/>
        <rFont val="Times New Roman"/>
        <charset val="134"/>
      </rPr>
      <t>N</t>
    </r>
    <r>
      <rPr>
        <b/>
        <sz val="6"/>
        <color theme="0"/>
        <rFont val="Times New Roman"/>
        <charset val="134"/>
      </rPr>
      <t xml:space="preserve"> I&amp;E as at 8th November, 2024 = N1,655.882</t>
    </r>
  </si>
  <si>
    <t xml:space="preserve"> </t>
  </si>
  <si>
    <t>Week Ended November 8, 2024</t>
  </si>
  <si>
    <t>The chart above shows that the Dollar Fund category (Eurobonds and Fixed Income) has the highest share of the Aggregate Net Asset Value (NAV) at 47.76%, followed by Money Market Fund with 40.31%, Bond/Fixed Income Fund at 5.62%, Real Estate Investment Trust at 2.62%.  Next is Balanced Fund at 1.40%, Shari'ah Compliant Fund at 1.35%, Equity Fund at 0.79% and Ethical Fund at 0.15%.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</si>
</sst>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_-* #,##0.00_-;\-* #,##0.00_-;_-* &quot;-&quot;??_-;_-@_-"/>
    <numFmt numFmtId="165" formatCode="_(* #,##0.000_);_(* \(#,##0.000\);_(* &quot;-&quot;??_);_(@_)"/>
    <numFmt numFmtId="166" formatCode="0.0%"/>
  </numFmts>
  <fonts count="58">
    <font>
      <sz val="11"/>
      <color theme="1"/>
      <name val="Calibri"/>
      <charset val="134"/>
      <scheme val="minor"/>
    </font>
    <font>
      <b/>
      <sz val="12"/>
      <color theme="1"/>
      <name val="Arial Narrow"/>
      <charset val="134"/>
    </font>
    <font>
      <b/>
      <sz val="11"/>
      <color theme="1"/>
      <name val="Arial Narrow"/>
      <charset val="134"/>
    </font>
    <font>
      <sz val="11"/>
      <name val="Arial Narrow"/>
      <charset val="134"/>
    </font>
    <font>
      <sz val="11"/>
      <color theme="1"/>
      <name val="Arial Narrow"/>
      <charset val="134"/>
    </font>
    <font>
      <b/>
      <sz val="12"/>
      <name val="Arial Narrow"/>
      <charset val="134"/>
    </font>
    <font>
      <sz val="11"/>
      <name val="Calibri"/>
      <charset val="134"/>
      <scheme val="minor"/>
    </font>
    <font>
      <b/>
      <sz val="11"/>
      <name val="Arial Narrow"/>
      <charset val="134"/>
    </font>
    <font>
      <sz val="11"/>
      <color theme="0"/>
      <name val="Calibri"/>
      <charset val="134"/>
      <scheme val="minor"/>
    </font>
    <font>
      <b/>
      <sz val="11"/>
      <color theme="0"/>
      <name val="Calibri"/>
      <charset val="134"/>
      <scheme val="minor"/>
    </font>
    <font>
      <sz val="6"/>
      <color theme="0"/>
      <name val="Arial Narrow"/>
      <charset val="134"/>
    </font>
    <font>
      <sz val="6"/>
      <color theme="0"/>
      <name val="Calibri"/>
      <charset val="134"/>
      <scheme val="minor"/>
    </font>
    <font>
      <sz val="11"/>
      <name val="Calibri"/>
      <charset val="134"/>
      <scheme val="minor"/>
    </font>
    <font>
      <b/>
      <sz val="12"/>
      <color theme="0"/>
      <name val="Arial Narrow"/>
      <charset val="134"/>
    </font>
    <font>
      <b/>
      <sz val="11"/>
      <color theme="0"/>
      <name val="Arial Narrow"/>
      <charset val="134"/>
    </font>
    <font>
      <sz val="11"/>
      <color theme="0"/>
      <name val="Arial Narrow"/>
      <charset val="134"/>
    </font>
    <font>
      <sz val="10"/>
      <color rgb="FFFF0000"/>
      <name val="Arial Narrow"/>
      <charset val="134"/>
    </font>
    <font>
      <sz val="10"/>
      <color rgb="FFFF0000"/>
      <name val="Arial Narrow"/>
      <charset val="134"/>
    </font>
    <font>
      <b/>
      <sz val="10"/>
      <color theme="0"/>
      <name val="Arial Narrow"/>
      <charset val="134"/>
    </font>
    <font>
      <sz val="10"/>
      <color theme="0"/>
      <name val="Calibri"/>
      <charset val="134"/>
      <scheme val="minor"/>
    </font>
    <font>
      <sz val="10"/>
      <color theme="0"/>
      <name val="Arial Narrow"/>
      <charset val="134"/>
    </font>
    <font>
      <b/>
      <sz val="8"/>
      <color theme="0"/>
      <name val="Arial Narrow"/>
      <charset val="134"/>
    </font>
    <font>
      <sz val="8"/>
      <color theme="0"/>
      <name val="Arial"/>
      <charset val="134"/>
    </font>
    <font>
      <b/>
      <sz val="18"/>
      <color theme="0"/>
      <name val="Ebrima"/>
      <charset val="134"/>
    </font>
    <font>
      <b/>
      <sz val="8"/>
      <color theme="1"/>
      <name val="Arial Narrow"/>
      <charset val="134"/>
    </font>
    <font>
      <b/>
      <sz val="8"/>
      <name val="Arial Narrow"/>
      <charset val="134"/>
    </font>
    <font>
      <sz val="8"/>
      <color theme="1"/>
      <name val="Arial Narrow"/>
      <charset val="134"/>
    </font>
    <font>
      <b/>
      <sz val="10"/>
      <color theme="1"/>
      <name val="Arial Narrow"/>
      <charset val="134"/>
    </font>
    <font>
      <sz val="8"/>
      <name val="Arial Narrow"/>
      <charset val="134"/>
    </font>
    <font>
      <sz val="8"/>
      <name val="Arial Narrow"/>
      <charset val="134"/>
    </font>
    <font>
      <b/>
      <sz val="8"/>
      <color rgb="FFFF0000"/>
      <name val="Arial Narrow"/>
      <charset val="134"/>
    </font>
    <font>
      <b/>
      <sz val="8"/>
      <color theme="1"/>
      <name val="Arial Narrow"/>
      <charset val="134"/>
    </font>
    <font>
      <sz val="10"/>
      <color rgb="FF000000"/>
      <name val="Times New Roman"/>
      <charset val="134"/>
    </font>
    <font>
      <b/>
      <sz val="9"/>
      <color theme="1"/>
      <name val="Arial Narrow"/>
      <charset val="134"/>
    </font>
    <font>
      <sz val="8"/>
      <color rgb="FF000000"/>
      <name val="Arial Narrow"/>
      <charset val="134"/>
    </font>
    <font>
      <sz val="12"/>
      <color rgb="FF000000"/>
      <name val="Calibri"/>
      <charset val="134"/>
      <scheme val="minor"/>
    </font>
    <font>
      <b/>
      <sz val="12"/>
      <color rgb="FF000000"/>
      <name val="Times New Roman"/>
      <charset val="134"/>
    </font>
    <font>
      <b/>
      <sz val="10"/>
      <name val="Arial Narrow"/>
      <charset val="134"/>
    </font>
    <font>
      <sz val="8"/>
      <color indexed="8"/>
      <name val="Arial Narrow"/>
      <charset val="134"/>
    </font>
    <font>
      <sz val="8"/>
      <color rgb="FFFF0000"/>
      <name val="Arial Narrow"/>
      <charset val="134"/>
    </font>
    <font>
      <b/>
      <sz val="12"/>
      <name val="Arial Narrow"/>
      <charset val="134"/>
    </font>
    <font>
      <i/>
      <sz val="8"/>
      <name val="Arial Narrow"/>
      <charset val="134"/>
    </font>
    <font>
      <b/>
      <sz val="8"/>
      <name val="Arial Narrow"/>
      <charset val="134"/>
    </font>
    <font>
      <sz val="10"/>
      <name val="Arial Narrow"/>
      <charset val="134"/>
    </font>
    <font>
      <b/>
      <sz val="6"/>
      <color theme="0"/>
      <name val="Times New Roman"/>
      <charset val="134"/>
    </font>
    <font>
      <sz val="10"/>
      <color rgb="FF000000"/>
      <name val="Arial"/>
      <charset val="134"/>
    </font>
    <font>
      <b/>
      <sz val="11"/>
      <color theme="1"/>
      <name val="Calibri"/>
      <charset val="134"/>
      <scheme val="minor"/>
    </font>
    <font>
      <b/>
      <sz val="11"/>
      <color theme="1"/>
      <name val="Aptos"/>
      <charset val="134"/>
    </font>
    <font>
      <sz val="11"/>
      <color theme="1"/>
      <name val="Aptos"/>
      <charset val="134"/>
    </font>
    <font>
      <sz val="11"/>
      <color rgb="FF9C6500"/>
      <name val="Calibri"/>
      <charset val="134"/>
      <scheme val="minor"/>
    </font>
    <font>
      <sz val="10"/>
      <name val="Arial"/>
      <charset val="134"/>
    </font>
    <font>
      <sz val="10"/>
      <color theme="1"/>
      <name val="Futura Bk BT"/>
      <charset val="134"/>
    </font>
    <font>
      <b/>
      <sz val="18"/>
      <color theme="3"/>
      <name val="Calibri Light"/>
      <charset val="134"/>
      <scheme val="major"/>
    </font>
    <font>
      <b/>
      <strike/>
      <sz val="6"/>
      <color theme="0"/>
      <name val="Times New Roman"/>
      <charset val="134"/>
    </font>
    <font>
      <sz val="11"/>
      <color theme="1"/>
      <name val="Calibri"/>
      <charset val="134"/>
      <scheme val="minor"/>
    </font>
    <font>
      <sz val="8"/>
      <name val="Arial Narrow"/>
      <family val="2"/>
    </font>
    <font>
      <b/>
      <sz val="8"/>
      <color theme="1"/>
      <name val="Arial Narrow"/>
      <family val="2"/>
    </font>
    <font>
      <b/>
      <sz val="6"/>
      <color theme="0"/>
      <name val="Times New Roman"/>
      <family val="1"/>
    </font>
  </fonts>
  <fills count="2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 tint="0.39985351115451523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3" tint="0.79992065187536243"/>
        <bgColor indexed="64"/>
      </patternFill>
    </fill>
    <fill>
      <patternFill patternType="solid">
        <fgColor theme="3" tint="0.79985961485641044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4" tint="0.79989013336588644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39985351115451523"/>
        <bgColor indexed="64"/>
      </patternFill>
    </fill>
    <fill>
      <patternFill patternType="solid">
        <fgColor theme="5" tint="0.39985351115451523"/>
        <bgColor indexed="64"/>
      </patternFill>
    </fill>
    <fill>
      <patternFill patternType="solid">
        <fgColor theme="7" tint="0.39985351115451523"/>
        <bgColor indexed="64"/>
      </patternFill>
    </fill>
    <fill>
      <patternFill patternType="solid">
        <fgColor theme="8" tint="0.39985351115451523"/>
        <bgColor indexed="64"/>
      </patternFill>
    </fill>
    <fill>
      <patternFill patternType="solid">
        <fgColor theme="9" tint="0.39985351115451523"/>
        <bgColor indexed="64"/>
      </patternFill>
    </fill>
    <fill>
      <patternFill patternType="solid">
        <fgColor rgb="FFFFEB9C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8">
    <xf numFmtId="0" fontId="0" fillId="0" borderId="0"/>
    <xf numFmtId="164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0" fontId="8" fillId="5" borderId="0" applyNumberFormat="0" applyBorder="0" applyAlignment="0" applyProtection="0"/>
    <xf numFmtId="0" fontId="8" fillId="17" borderId="0" applyNumberFormat="0" applyBorder="0" applyAlignment="0" applyProtection="0"/>
    <xf numFmtId="0" fontId="8" fillId="16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43" fontId="48" fillId="0" borderId="0" applyFont="0" applyFill="0" applyBorder="0" applyAlignment="0" applyProtection="0"/>
    <xf numFmtId="164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0" fontId="49" fillId="21" borderId="0" applyNumberFormat="0" applyBorder="0" applyAlignment="0" applyProtection="0"/>
    <xf numFmtId="0" fontId="50" fillId="0" borderId="0"/>
    <xf numFmtId="0" fontId="54" fillId="0" borderId="0"/>
    <xf numFmtId="0" fontId="51" fillId="0" borderId="0"/>
    <xf numFmtId="9" fontId="54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52" fillId="0" borderId="0" applyNumberFormat="0" applyFill="0" applyBorder="0" applyAlignment="0" applyProtection="0"/>
  </cellStyleXfs>
  <cellXfs count="189">
    <xf numFmtId="0" fontId="0" fillId="0" borderId="0" xfId="0"/>
    <xf numFmtId="0" fontId="1" fillId="0" borderId="1" xfId="0" applyFont="1" applyBorder="1" applyAlignment="1">
      <alignment horizontal="right"/>
    </xf>
    <xf numFmtId="16" fontId="2" fillId="2" borderId="1" xfId="0" applyNumberFormat="1" applyFont="1" applyFill="1" applyBorder="1"/>
    <xf numFmtId="0" fontId="2" fillId="0" borderId="1" xfId="0" applyFont="1" applyBorder="1" applyAlignment="1">
      <alignment horizontal="right"/>
    </xf>
    <xf numFmtId="4" fontId="3" fillId="2" borderId="1" xfId="0" applyNumberFormat="1" applyFont="1" applyFill="1" applyBorder="1" applyAlignment="1">
      <alignment horizontal="right"/>
    </xf>
    <xf numFmtId="4" fontId="3" fillId="2" borderId="1" xfId="0" applyNumberFormat="1" applyFont="1" applyFill="1" applyBorder="1"/>
    <xf numFmtId="4" fontId="4" fillId="2" borderId="1" xfId="0" applyNumberFormat="1" applyFont="1" applyFill="1" applyBorder="1"/>
    <xf numFmtId="164" fontId="3" fillId="2" borderId="1" xfId="1" applyFont="1" applyFill="1" applyBorder="1" applyAlignment="1">
      <alignment horizontal="right" vertical="top" wrapText="1"/>
    </xf>
    <xf numFmtId="0" fontId="5" fillId="3" borderId="1" xfId="0" applyFont="1" applyFill="1" applyBorder="1" applyAlignment="1">
      <alignment horizontal="right"/>
    </xf>
    <xf numFmtId="43" fontId="5" fillId="3" borderId="1" xfId="0" applyNumberFormat="1" applyFont="1" applyFill="1" applyBorder="1"/>
    <xf numFmtId="0" fontId="4" fillId="0" borderId="0" xfId="0" applyFont="1"/>
    <xf numFmtId="164" fontId="4" fillId="0" borderId="0" xfId="1" applyFont="1"/>
    <xf numFmtId="0" fontId="1" fillId="4" borderId="1" xfId="0" applyFont="1" applyFill="1" applyBorder="1" applyAlignment="1">
      <alignment horizontal="right"/>
    </xf>
    <xf numFmtId="43" fontId="1" fillId="4" borderId="1" xfId="0" applyNumberFormat="1" applyFont="1" applyFill="1" applyBorder="1"/>
    <xf numFmtId="164" fontId="1" fillId="4" borderId="1" xfId="1" applyFont="1" applyFill="1" applyBorder="1"/>
    <xf numFmtId="0" fontId="6" fillId="0" borderId="0" xfId="0" applyFont="1"/>
    <xf numFmtId="0" fontId="7" fillId="0" borderId="1" xfId="0" applyFont="1" applyBorder="1" applyAlignment="1">
      <alignment horizontal="right"/>
    </xf>
    <xf numFmtId="164" fontId="3" fillId="0" borderId="1" xfId="1" applyFont="1" applyBorder="1"/>
    <xf numFmtId="164" fontId="6" fillId="0" borderId="0" xfId="1" applyFont="1"/>
    <xf numFmtId="0" fontId="8" fillId="0" borderId="0" xfId="0" applyFont="1"/>
    <xf numFmtId="0" fontId="9" fillId="0" borderId="0" xfId="0" applyFont="1"/>
    <xf numFmtId="16" fontId="10" fillId="2" borderId="0" xfId="0" applyNumberFormat="1" applyFont="1" applyFill="1"/>
    <xf numFmtId="164" fontId="11" fillId="0" borderId="0" xfId="1" applyFont="1"/>
    <xf numFmtId="43" fontId="11" fillId="0" borderId="0" xfId="0" applyNumberFormat="1" applyFont="1"/>
    <xf numFmtId="0" fontId="12" fillId="0" borderId="0" xfId="0" applyFont="1"/>
    <xf numFmtId="4" fontId="11" fillId="0" borderId="0" xfId="0" applyNumberFormat="1" applyFont="1"/>
    <xf numFmtId="0" fontId="13" fillId="0" borderId="0" xfId="0" applyFont="1" applyBorder="1" applyAlignment="1">
      <alignment horizontal="right"/>
    </xf>
    <xf numFmtId="16" fontId="14" fillId="2" borderId="0" xfId="0" applyNumberFormat="1" applyFont="1" applyFill="1" applyBorder="1"/>
    <xf numFmtId="0" fontId="14" fillId="0" borderId="0" xfId="0" applyFont="1" applyBorder="1" applyAlignment="1">
      <alignment horizontal="right"/>
    </xf>
    <xf numFmtId="4" fontId="15" fillId="2" borderId="0" xfId="0" applyNumberFormat="1" applyFont="1" applyFill="1" applyBorder="1"/>
    <xf numFmtId="164" fontId="15" fillId="2" borderId="0" xfId="1" applyFont="1" applyFill="1" applyBorder="1" applyAlignment="1">
      <alignment horizontal="right" vertical="top" wrapText="1"/>
    </xf>
    <xf numFmtId="4" fontId="15" fillId="2" borderId="0" xfId="0" applyNumberFormat="1" applyFont="1" applyFill="1" applyBorder="1" applyAlignment="1">
      <alignment horizontal="right"/>
    </xf>
    <xf numFmtId="0" fontId="4" fillId="2" borderId="0" xfId="0" applyFont="1" applyFill="1" applyAlignment="1">
      <alignment wrapText="1"/>
    </xf>
    <xf numFmtId="0" fontId="18" fillId="0" borderId="0" xfId="0" applyFont="1" applyBorder="1" applyAlignment="1">
      <alignment horizontal="right"/>
    </xf>
    <xf numFmtId="16" fontId="18" fillId="2" borderId="0" xfId="0" applyNumberFormat="1" applyFont="1" applyFill="1" applyBorder="1" applyAlignment="1">
      <alignment horizontal="center" wrapText="1"/>
    </xf>
    <xf numFmtId="0" fontId="19" fillId="0" borderId="0" xfId="0" applyFont="1" applyBorder="1"/>
    <xf numFmtId="0" fontId="18" fillId="0" borderId="0" xfId="0" applyFont="1" applyBorder="1" applyAlignment="1">
      <alignment horizontal="right" wrapText="1"/>
    </xf>
    <xf numFmtId="4" fontId="20" fillId="2" borderId="0" xfId="0" applyNumberFormat="1" applyFont="1" applyFill="1" applyBorder="1"/>
    <xf numFmtId="4" fontId="20" fillId="2" borderId="0" xfId="0" applyNumberFormat="1" applyFont="1" applyFill="1" applyBorder="1" applyAlignment="1">
      <alignment horizontal="right"/>
    </xf>
    <xf numFmtId="164" fontId="20" fillId="2" borderId="0" xfId="1" applyFont="1" applyFill="1" applyBorder="1" applyAlignment="1">
      <alignment horizontal="right" vertical="top" wrapText="1"/>
    </xf>
    <xf numFmtId="0" fontId="21" fillId="0" borderId="0" xfId="0" applyFont="1" applyBorder="1" applyAlignment="1">
      <alignment horizontal="right" wrapText="1"/>
    </xf>
    <xf numFmtId="164" fontId="22" fillId="0" borderId="0" xfId="1" applyFont="1" applyBorder="1"/>
    <xf numFmtId="4" fontId="22" fillId="2" borderId="0" xfId="0" applyNumberFormat="1" applyFont="1" applyFill="1" applyBorder="1"/>
    <xf numFmtId="0" fontId="21" fillId="0" borderId="0" xfId="0" applyFont="1" applyBorder="1" applyAlignment="1">
      <alignment horizontal="right"/>
    </xf>
    <xf numFmtId="4" fontId="22" fillId="2" borderId="0" xfId="0" applyNumberFormat="1" applyFont="1" applyFill="1" applyBorder="1" applyAlignment="1">
      <alignment horizontal="right"/>
    </xf>
    <xf numFmtId="164" fontId="22" fillId="2" borderId="0" xfId="1" applyFont="1" applyFill="1" applyBorder="1" applyAlignment="1">
      <alignment horizontal="right" vertical="top" wrapText="1"/>
    </xf>
    <xf numFmtId="0" fontId="14" fillId="0" borderId="0" xfId="0" applyFont="1" applyAlignment="1">
      <alignment horizontal="right"/>
    </xf>
    <xf numFmtId="4" fontId="15" fillId="2" borderId="0" xfId="0" applyNumberFormat="1" applyFont="1" applyFill="1"/>
    <xf numFmtId="0" fontId="7" fillId="0" borderId="0" xfId="0" applyFont="1" applyAlignment="1">
      <alignment horizontal="right"/>
    </xf>
    <xf numFmtId="4" fontId="3" fillId="2" borderId="0" xfId="0" applyNumberFormat="1" applyFont="1" applyFill="1"/>
    <xf numFmtId="0" fontId="0" fillId="7" borderId="1" xfId="0" applyFill="1" applyBorder="1"/>
    <xf numFmtId="0" fontId="24" fillId="8" borderId="1" xfId="0" applyFont="1" applyFill="1" applyBorder="1"/>
    <xf numFmtId="0" fontId="25" fillId="3" borderId="1" xfId="0" applyFont="1" applyFill="1" applyBorder="1" applyAlignment="1">
      <alignment horizontal="center" vertical="top" wrapText="1"/>
    </xf>
    <xf numFmtId="0" fontId="25" fillId="3" borderId="1" xfId="0" applyFont="1" applyFill="1" applyBorder="1" applyAlignment="1">
      <alignment vertical="top" wrapText="1"/>
    </xf>
    <xf numFmtId="0" fontId="24" fillId="3" borderId="1" xfId="0" applyFont="1" applyFill="1" applyBorder="1" applyAlignment="1">
      <alignment vertical="top" wrapText="1"/>
    </xf>
    <xf numFmtId="0" fontId="24" fillId="3" borderId="1" xfId="0" applyFont="1" applyFill="1" applyBorder="1" applyAlignment="1">
      <alignment horizontal="center" vertical="top"/>
    </xf>
    <xf numFmtId="0" fontId="24" fillId="3" borderId="1" xfId="0" applyFont="1" applyFill="1" applyBorder="1" applyAlignment="1">
      <alignment horizontal="center" vertical="top" wrapText="1"/>
    </xf>
    <xf numFmtId="0" fontId="0" fillId="0" borderId="1" xfId="0" applyBorder="1"/>
    <xf numFmtId="164" fontId="28" fillId="2" borderId="1" xfId="10" applyFont="1" applyFill="1" applyBorder="1"/>
    <xf numFmtId="10" fontId="28" fillId="8" borderId="1" xfId="2" applyNumberFormat="1" applyFont="1" applyFill="1" applyBorder="1" applyAlignment="1">
      <alignment horizontal="center"/>
    </xf>
    <xf numFmtId="4" fontId="28" fillId="2" borderId="1" xfId="0" applyNumberFormat="1" applyFont="1" applyFill="1" applyBorder="1" applyAlignment="1">
      <alignment horizontal="right"/>
    </xf>
    <xf numFmtId="164" fontId="28" fillId="10" borderId="1" xfId="1" applyFont="1" applyFill="1" applyBorder="1" applyAlignment="1">
      <alignment horizontal="center"/>
    </xf>
    <xf numFmtId="4" fontId="28" fillId="2" borderId="1" xfId="0" applyNumberFormat="1" applyFont="1" applyFill="1" applyBorder="1"/>
    <xf numFmtId="164" fontId="26" fillId="10" borderId="1" xfId="1" applyFont="1" applyFill="1" applyBorder="1" applyAlignment="1">
      <alignment horizontal="center"/>
    </xf>
    <xf numFmtId="164" fontId="28" fillId="2" borderId="1" xfId="1" applyFont="1" applyFill="1" applyBorder="1"/>
    <xf numFmtId="0" fontId="26" fillId="0" borderId="1" xfId="0" applyFont="1" applyBorder="1"/>
    <xf numFmtId="0" fontId="26" fillId="2" borderId="1" xfId="0" applyFont="1" applyFill="1" applyBorder="1"/>
    <xf numFmtId="0" fontId="25" fillId="2" borderId="1" xfId="0" applyFont="1" applyFill="1" applyBorder="1" applyAlignment="1">
      <alignment horizontal="right"/>
    </xf>
    <xf numFmtId="164" fontId="25" fillId="2" borderId="1" xfId="1" applyFont="1" applyFill="1" applyBorder="1" applyAlignment="1">
      <alignment horizontal="right" vertical="top" wrapText="1"/>
    </xf>
    <xf numFmtId="10" fontId="30" fillId="8" borderId="1" xfId="2" applyNumberFormat="1" applyFont="1" applyFill="1" applyBorder="1" applyAlignment="1">
      <alignment horizontal="center" vertical="top" wrapText="1"/>
    </xf>
    <xf numFmtId="10" fontId="28" fillId="2" borderId="1" xfId="2" applyNumberFormat="1" applyFont="1" applyFill="1" applyBorder="1" applyAlignment="1">
      <alignment horizontal="center" vertical="top" wrapText="1"/>
    </xf>
    <xf numFmtId="4" fontId="28" fillId="2" borderId="1" xfId="1" applyNumberFormat="1" applyFont="1" applyFill="1" applyBorder="1" applyAlignment="1">
      <alignment vertical="top" wrapText="1"/>
    </xf>
    <xf numFmtId="164" fontId="25" fillId="10" borderId="1" xfId="1" applyFont="1" applyFill="1" applyBorder="1" applyAlignment="1">
      <alignment horizontal="center"/>
    </xf>
    <xf numFmtId="0" fontId="28" fillId="2" borderId="1" xfId="0" applyFont="1" applyFill="1" applyBorder="1" applyAlignment="1">
      <alignment horizontal="center" wrapText="1"/>
    </xf>
    <xf numFmtId="164" fontId="28" fillId="2" borderId="1" xfId="10" applyFont="1" applyFill="1" applyBorder="1" applyAlignment="1">
      <alignment horizontal="right"/>
    </xf>
    <xf numFmtId="4" fontId="28" fillId="2" borderId="1" xfId="1" applyNumberFormat="1" applyFont="1" applyFill="1" applyBorder="1" applyAlignment="1">
      <alignment horizontal="right"/>
    </xf>
    <xf numFmtId="164" fontId="28" fillId="10" borderId="1" xfId="1" applyFont="1" applyFill="1" applyBorder="1" applyAlignment="1">
      <alignment horizontal="center" wrapText="1"/>
    </xf>
    <xf numFmtId="164" fontId="28" fillId="2" borderId="1" xfId="10" applyFont="1" applyFill="1" applyBorder="1" applyAlignment="1">
      <alignment horizontal="right" wrapText="1"/>
    </xf>
    <xf numFmtId="164" fontId="25" fillId="2" borderId="1" xfId="1" applyFont="1" applyFill="1" applyBorder="1" applyAlignment="1">
      <alignment horizontal="right"/>
    </xf>
    <xf numFmtId="164" fontId="24" fillId="3" borderId="1" xfId="1" applyFont="1" applyFill="1" applyBorder="1" applyAlignment="1">
      <alignment horizontal="center" vertical="top"/>
    </xf>
    <xf numFmtId="10" fontId="28" fillId="10" borderId="1" xfId="2" applyNumberFormat="1" applyFont="1" applyFill="1" applyBorder="1" applyAlignment="1">
      <alignment horizontal="center"/>
    </xf>
    <xf numFmtId="10" fontId="26" fillId="10" borderId="1" xfId="2" applyNumberFormat="1" applyFont="1" applyFill="1" applyBorder="1" applyAlignment="1">
      <alignment horizontal="center"/>
    </xf>
    <xf numFmtId="10" fontId="28" fillId="10" borderId="1" xfId="2" applyNumberFormat="1" applyFont="1" applyFill="1" applyBorder="1" applyAlignment="1">
      <alignment horizontal="center" vertical="top" wrapText="1"/>
    </xf>
    <xf numFmtId="10" fontId="28" fillId="10" borderId="1" xfId="2" applyNumberFormat="1" applyFont="1" applyFill="1" applyBorder="1" applyAlignment="1">
      <alignment horizontal="center" wrapText="1"/>
    </xf>
    <xf numFmtId="10" fontId="28" fillId="8" borderId="1" xfId="2" applyNumberFormat="1" applyFont="1" applyFill="1" applyBorder="1" applyAlignment="1">
      <alignment horizontal="center" wrapText="1"/>
    </xf>
    <xf numFmtId="10" fontId="28" fillId="10" borderId="1" xfId="1" applyNumberFormat="1" applyFont="1" applyFill="1" applyBorder="1" applyAlignment="1">
      <alignment horizontal="center"/>
    </xf>
    <xf numFmtId="10" fontId="28" fillId="3" borderId="1" xfId="2" applyNumberFormat="1" applyFont="1" applyFill="1" applyBorder="1" applyAlignment="1">
      <alignment horizontal="center" vertical="top" wrapText="1"/>
    </xf>
    <xf numFmtId="10" fontId="26" fillId="3" borderId="1" xfId="2" applyNumberFormat="1" applyFont="1" applyFill="1" applyBorder="1" applyAlignment="1">
      <alignment horizontal="center" vertical="top" wrapText="1"/>
    </xf>
    <xf numFmtId="10" fontId="26" fillId="3" borderId="1" xfId="1" applyNumberFormat="1" applyFont="1" applyFill="1" applyBorder="1" applyAlignment="1">
      <alignment horizontal="center" vertical="top" wrapText="1"/>
    </xf>
    <xf numFmtId="10" fontId="32" fillId="11" borderId="0" xfId="0" applyNumberFormat="1" applyFont="1" applyFill="1" applyAlignment="1">
      <alignment horizontal="right" vertical="center" wrapText="1"/>
    </xf>
    <xf numFmtId="2" fontId="28" fillId="2" borderId="1" xfId="0" applyNumberFormat="1" applyFont="1" applyFill="1" applyBorder="1"/>
    <xf numFmtId="164" fontId="28" fillId="2" borderId="1" xfId="10" applyFont="1" applyFill="1" applyBorder="1" applyAlignment="1">
      <alignment wrapText="1"/>
    </xf>
    <xf numFmtId="164" fontId="28" fillId="12" borderId="1" xfId="1" applyFont="1" applyFill="1" applyBorder="1" applyAlignment="1">
      <alignment horizontal="center"/>
    </xf>
    <xf numFmtId="4" fontId="29" fillId="2" borderId="1" xfId="0" applyNumberFormat="1" applyFont="1" applyFill="1" applyBorder="1"/>
    <xf numFmtId="10" fontId="28" fillId="12" borderId="1" xfId="2" applyNumberFormat="1" applyFont="1" applyFill="1" applyBorder="1" applyAlignment="1">
      <alignment horizontal="center"/>
    </xf>
    <xf numFmtId="10" fontId="28" fillId="7" borderId="1" xfId="2" applyNumberFormat="1" applyFont="1" applyFill="1" applyBorder="1" applyAlignment="1">
      <alignment horizontal="center"/>
    </xf>
    <xf numFmtId="10" fontId="29" fillId="10" borderId="1" xfId="2" applyNumberFormat="1" applyFont="1" applyFill="1" applyBorder="1" applyAlignment="1">
      <alignment horizontal="center" wrapText="1"/>
    </xf>
    <xf numFmtId="4" fontId="0" fillId="0" borderId="0" xfId="0" applyNumberFormat="1"/>
    <xf numFmtId="164" fontId="34" fillId="0" borderId="0" xfId="1" applyFont="1"/>
    <xf numFmtId="4" fontId="35" fillId="0" borderId="0" xfId="0" applyNumberFormat="1" applyFont="1"/>
    <xf numFmtId="2" fontId="0" fillId="0" borderId="0" xfId="0" applyNumberFormat="1"/>
    <xf numFmtId="165" fontId="0" fillId="0" borderId="0" xfId="0" applyNumberFormat="1"/>
    <xf numFmtId="4" fontId="36" fillId="11" borderId="0" xfId="0" applyNumberFormat="1" applyFont="1" applyFill="1" applyAlignment="1">
      <alignment horizontal="right" vertical="center" wrapText="1"/>
    </xf>
    <xf numFmtId="0" fontId="25" fillId="0" borderId="1" xfId="0" applyFont="1" applyBorder="1" applyAlignment="1">
      <alignment horizontal="right"/>
    </xf>
    <xf numFmtId="4" fontId="38" fillId="0" borderId="1" xfId="0" applyNumberFormat="1" applyFont="1" applyFill="1" applyBorder="1" applyAlignment="1" applyProtection="1"/>
    <xf numFmtId="0" fontId="39" fillId="2" borderId="1" xfId="0" applyFont="1" applyFill="1" applyBorder="1"/>
    <xf numFmtId="4" fontId="28" fillId="2" borderId="1" xfId="1" applyNumberFormat="1" applyFont="1" applyFill="1" applyBorder="1" applyAlignment="1">
      <alignment horizontal="right" vertical="top" wrapText="1"/>
    </xf>
    <xf numFmtId="164" fontId="25" fillId="2" borderId="1" xfId="1" applyFont="1" applyFill="1" applyBorder="1"/>
    <xf numFmtId="43" fontId="28" fillId="2" borderId="1" xfId="0" applyNumberFormat="1" applyFont="1" applyFill="1" applyBorder="1"/>
    <xf numFmtId="4" fontId="28" fillId="2" borderId="1" xfId="10" applyNumberFormat="1" applyFont="1" applyFill="1" applyBorder="1" applyAlignment="1">
      <alignment horizontal="right"/>
    </xf>
    <xf numFmtId="4" fontId="28" fillId="2" borderId="1" xfId="0" applyNumberFormat="1" applyFont="1" applyFill="1" applyBorder="1" applyAlignment="1">
      <alignment horizontal="right" wrapText="1"/>
    </xf>
    <xf numFmtId="4" fontId="28" fillId="2" borderId="1" xfId="10" applyNumberFormat="1" applyFont="1" applyFill="1" applyBorder="1" applyAlignment="1">
      <alignment horizontal="right" wrapText="1"/>
    </xf>
    <xf numFmtId="4" fontId="28" fillId="10" borderId="1" xfId="1" applyNumberFormat="1" applyFont="1" applyFill="1" applyBorder="1" applyAlignment="1">
      <alignment horizontal="center"/>
    </xf>
    <xf numFmtId="4" fontId="28" fillId="10" borderId="1" xfId="1" applyNumberFormat="1" applyFont="1" applyFill="1" applyBorder="1" applyAlignment="1">
      <alignment horizontal="center" vertical="top" wrapText="1"/>
    </xf>
    <xf numFmtId="43" fontId="28" fillId="10" borderId="1" xfId="0" applyNumberFormat="1" applyFont="1" applyFill="1" applyBorder="1" applyAlignment="1">
      <alignment horizontal="center"/>
    </xf>
    <xf numFmtId="164" fontId="0" fillId="0" borderId="0" xfId="1" applyFont="1"/>
    <xf numFmtId="4" fontId="25" fillId="10" borderId="1" xfId="1" applyNumberFormat="1" applyFont="1" applyFill="1" applyBorder="1" applyAlignment="1">
      <alignment horizontal="right" vertical="top" wrapText="1"/>
    </xf>
    <xf numFmtId="0" fontId="28" fillId="15" borderId="1" xfId="0" applyFont="1" applyFill="1" applyBorder="1" applyAlignment="1">
      <alignment horizontal="right" vertical="center"/>
    </xf>
    <xf numFmtId="0" fontId="25" fillId="15" borderId="1" xfId="0" applyFont="1" applyFill="1" applyBorder="1" applyAlignment="1">
      <alignment horizontal="right" vertical="center"/>
    </xf>
    <xf numFmtId="164" fontId="25" fillId="15" borderId="1" xfId="1" applyFont="1" applyFill="1" applyBorder="1" applyAlignment="1">
      <alignment horizontal="right" vertical="center" wrapText="1"/>
    </xf>
    <xf numFmtId="10" fontId="28" fillId="15" borderId="1" xfId="1" applyNumberFormat="1" applyFont="1" applyFill="1" applyBorder="1" applyAlignment="1">
      <alignment horizontal="right" vertical="center" wrapText="1"/>
    </xf>
    <xf numFmtId="4" fontId="28" fillId="15" borderId="1" xfId="1" applyNumberFormat="1" applyFont="1" applyFill="1" applyBorder="1" applyAlignment="1">
      <alignment horizontal="right" vertical="center" wrapText="1"/>
    </xf>
    <xf numFmtId="164" fontId="25" fillId="15" borderId="1" xfId="1" applyFont="1" applyFill="1" applyBorder="1" applyAlignment="1">
      <alignment horizontal="right" vertical="top" wrapText="1"/>
    </xf>
    <xf numFmtId="4" fontId="28" fillId="2" borderId="1" xfId="10" applyNumberFormat="1" applyFont="1" applyFill="1" applyBorder="1" applyAlignment="1">
      <alignment horizontal="right" vertical="top" wrapText="1"/>
    </xf>
    <xf numFmtId="164" fontId="41" fillId="15" borderId="1" xfId="1" applyFont="1" applyFill="1" applyBorder="1" applyAlignment="1">
      <alignment horizontal="right" vertical="top" wrapText="1"/>
    </xf>
    <xf numFmtId="4" fontId="28" fillId="15" borderId="1" xfId="1" applyNumberFormat="1" applyFont="1" applyFill="1" applyBorder="1" applyAlignment="1">
      <alignment horizontal="right" vertical="top" wrapText="1"/>
    </xf>
    <xf numFmtId="164" fontId="28" fillId="2" borderId="1" xfId="10" applyFont="1" applyFill="1" applyBorder="1" applyAlignment="1">
      <alignment horizontal="right" vertical="top" wrapText="1"/>
    </xf>
    <xf numFmtId="10" fontId="28" fillId="8" borderId="1" xfId="2" applyNumberFormat="1" applyFont="1" applyFill="1" applyBorder="1" applyAlignment="1">
      <alignment horizontal="center" vertical="top" wrapText="1"/>
    </xf>
    <xf numFmtId="164" fontId="28" fillId="10" borderId="1" xfId="1" applyFont="1" applyFill="1" applyBorder="1" applyAlignment="1">
      <alignment horizontal="center" vertical="top" wrapText="1"/>
    </xf>
    <xf numFmtId="164" fontId="28" fillId="2" borderId="1" xfId="1" applyFont="1" applyFill="1" applyBorder="1" applyAlignment="1">
      <alignment horizontal="right" vertical="top" wrapText="1"/>
    </xf>
    <xf numFmtId="0" fontId="29" fillId="15" borderId="1" xfId="0" applyFont="1" applyFill="1" applyBorder="1" applyAlignment="1">
      <alignment horizontal="right"/>
    </xf>
    <xf numFmtId="0" fontId="42" fillId="15" borderId="1" xfId="0" applyFont="1" applyFill="1" applyBorder="1" applyAlignment="1">
      <alignment horizontal="right"/>
    </xf>
    <xf numFmtId="0" fontId="28" fillId="16" borderId="1" xfId="0" applyFont="1" applyFill="1" applyBorder="1" applyAlignment="1">
      <alignment horizontal="right" vertical="top" wrapText="1"/>
    </xf>
    <xf numFmtId="0" fontId="37" fillId="16" borderId="1" xfId="0" applyFont="1" applyFill="1" applyBorder="1" applyAlignment="1">
      <alignment horizontal="right" vertical="top" wrapText="1"/>
    </xf>
    <xf numFmtId="164" fontId="37" fillId="16" borderId="1" xfId="1" applyFont="1" applyFill="1" applyBorder="1" applyAlignment="1">
      <alignment horizontal="right" vertical="top" wrapText="1"/>
    </xf>
    <xf numFmtId="164" fontId="43" fillId="16" borderId="1" xfId="1" applyFont="1" applyFill="1" applyBorder="1" applyAlignment="1">
      <alignment horizontal="right" vertical="top" wrapText="1"/>
    </xf>
    <xf numFmtId="4" fontId="43" fillId="16" borderId="1" xfId="0" applyNumberFormat="1" applyFont="1" applyFill="1" applyBorder="1" applyAlignment="1">
      <alignment horizontal="right"/>
    </xf>
    <xf numFmtId="0" fontId="44" fillId="6" borderId="1" xfId="0" applyFont="1" applyFill="1" applyBorder="1" applyAlignment="1">
      <alignment horizontal="right" vertical="center"/>
    </xf>
    <xf numFmtId="0" fontId="8" fillId="6" borderId="1" xfId="0" applyFont="1" applyFill="1" applyBorder="1"/>
    <xf numFmtId="0" fontId="45" fillId="0" borderId="0" xfId="0" applyFont="1"/>
    <xf numFmtId="43" fontId="0" fillId="0" borderId="0" xfId="0" applyNumberFormat="1"/>
    <xf numFmtId="0" fontId="46" fillId="0" borderId="0" xfId="0" applyFont="1"/>
    <xf numFmtId="0" fontId="39" fillId="2" borderId="0" xfId="0" applyFont="1" applyFill="1" applyAlignment="1">
      <alignment wrapText="1"/>
    </xf>
    <xf numFmtId="43" fontId="46" fillId="0" borderId="0" xfId="11" applyFont="1" applyBorder="1"/>
    <xf numFmtId="2" fontId="46" fillId="0" borderId="0" xfId="0" applyNumberFormat="1" applyFont="1"/>
    <xf numFmtId="9" fontId="28" fillId="15" borderId="1" xfId="2" applyFont="1" applyFill="1" applyBorder="1" applyAlignment="1">
      <alignment horizontal="center" vertical="center" wrapText="1"/>
    </xf>
    <xf numFmtId="4" fontId="28" fillId="15" borderId="1" xfId="1" applyNumberFormat="1" applyFont="1" applyFill="1" applyBorder="1" applyAlignment="1">
      <alignment horizontal="center" vertical="center" wrapText="1"/>
    </xf>
    <xf numFmtId="4" fontId="28" fillId="15" borderId="1" xfId="1" applyNumberFormat="1" applyFont="1" applyFill="1" applyBorder="1" applyAlignment="1">
      <alignment horizontal="center" vertical="top" wrapText="1"/>
    </xf>
    <xf numFmtId="9" fontId="43" fillId="16" borderId="1" xfId="2" applyFont="1" applyFill="1" applyBorder="1" applyAlignment="1">
      <alignment horizontal="center"/>
    </xf>
    <xf numFmtId="4" fontId="43" fillId="16" borderId="1" xfId="0" applyNumberFormat="1" applyFont="1" applyFill="1" applyBorder="1" applyAlignment="1">
      <alignment horizontal="center"/>
    </xf>
    <xf numFmtId="10" fontId="46" fillId="0" borderId="0" xfId="2" applyNumberFormat="1" applyFont="1" applyBorder="1"/>
    <xf numFmtId="10" fontId="47" fillId="0" borderId="0" xfId="2" applyNumberFormat="1" applyFont="1" applyBorder="1"/>
    <xf numFmtId="10" fontId="26" fillId="15" borderId="1" xfId="2" applyNumberFormat="1" applyFont="1" applyFill="1" applyBorder="1" applyAlignment="1">
      <alignment horizontal="center" vertical="top" wrapText="1"/>
    </xf>
    <xf numFmtId="166" fontId="26" fillId="15" borderId="1" xfId="2" applyNumberFormat="1" applyFont="1" applyFill="1" applyBorder="1" applyAlignment="1">
      <alignment horizontal="center" vertical="top" wrapText="1"/>
    </xf>
    <xf numFmtId="10" fontId="26" fillId="15" borderId="1" xfId="1" applyNumberFormat="1" applyFont="1" applyFill="1" applyBorder="1" applyAlignment="1">
      <alignment horizontal="center" vertical="top" wrapText="1"/>
    </xf>
    <xf numFmtId="10" fontId="43" fillId="16" borderId="1" xfId="2" applyNumberFormat="1" applyFont="1" applyFill="1" applyBorder="1" applyAlignment="1">
      <alignment horizontal="center" vertical="top" wrapText="1"/>
    </xf>
    <xf numFmtId="166" fontId="43" fillId="16" borderId="1" xfId="2" applyNumberFormat="1" applyFont="1" applyFill="1" applyBorder="1" applyAlignment="1">
      <alignment horizontal="center" vertical="top" wrapText="1"/>
    </xf>
    <xf numFmtId="166" fontId="28" fillId="16" borderId="1" xfId="2" applyNumberFormat="1" applyFont="1" applyFill="1" applyBorder="1" applyAlignment="1">
      <alignment horizontal="center" vertical="top" wrapText="1"/>
    </xf>
    <xf numFmtId="43" fontId="1" fillId="4" borderId="1" xfId="0" quotePrefix="1" applyNumberFormat="1" applyFont="1" applyFill="1" applyBorder="1" applyAlignment="1">
      <alignment horizontal="center"/>
    </xf>
    <xf numFmtId="0" fontId="55" fillId="2" borderId="1" xfId="0" applyFont="1" applyFill="1" applyBorder="1" applyAlignment="1">
      <alignment wrapText="1"/>
    </xf>
    <xf numFmtId="4" fontId="55" fillId="2" borderId="1" xfId="0" applyNumberFormat="1" applyFont="1" applyFill="1" applyBorder="1" applyAlignment="1">
      <alignment wrapText="1"/>
    </xf>
    <xf numFmtId="0" fontId="55" fillId="2" borderId="1" xfId="0" applyFont="1" applyFill="1" applyBorder="1" applyAlignment="1">
      <alignment horizontal="left" wrapText="1"/>
    </xf>
    <xf numFmtId="4" fontId="55" fillId="0" borderId="1" xfId="0" applyNumberFormat="1" applyFont="1" applyBorder="1" applyAlignment="1">
      <alignment wrapText="1"/>
    </xf>
    <xf numFmtId="164" fontId="55" fillId="2" borderId="1" xfId="10" applyFont="1" applyFill="1" applyBorder="1"/>
    <xf numFmtId="0" fontId="56" fillId="3" borderId="1" xfId="0" applyFont="1" applyFill="1" applyBorder="1" applyAlignment="1">
      <alignment horizontal="center" vertical="top" wrapText="1"/>
    </xf>
    <xf numFmtId="10" fontId="55" fillId="10" borderId="1" xfId="2" applyNumberFormat="1" applyFont="1" applyFill="1" applyBorder="1" applyAlignment="1">
      <alignment horizontal="center"/>
    </xf>
    <xf numFmtId="49" fontId="55" fillId="0" borderId="1" xfId="0" applyNumberFormat="1" applyFont="1" applyBorder="1" applyAlignment="1">
      <alignment wrapText="1"/>
    </xf>
    <xf numFmtId="0" fontId="55" fillId="0" borderId="1" xfId="0" applyFont="1" applyBorder="1" applyAlignment="1">
      <alignment horizontal="center"/>
    </xf>
    <xf numFmtId="0" fontId="57" fillId="6" borderId="1" xfId="0" applyFont="1" applyFill="1" applyBorder="1" applyAlignment="1">
      <alignment horizontal="left"/>
    </xf>
    <xf numFmtId="0" fontId="40" fillId="9" borderId="1" xfId="0" applyFont="1" applyFill="1" applyBorder="1" applyAlignment="1">
      <alignment horizontal="center"/>
    </xf>
    <xf numFmtId="0" fontId="5" fillId="9" borderId="1" xfId="0" applyFont="1" applyFill="1" applyBorder="1" applyAlignment="1">
      <alignment horizontal="center"/>
    </xf>
    <xf numFmtId="0" fontId="26" fillId="2" borderId="1" xfId="0" applyFont="1" applyFill="1" applyBorder="1" applyAlignment="1">
      <alignment horizontal="center"/>
    </xf>
    <xf numFmtId="0" fontId="28" fillId="2" borderId="1" xfId="0" applyFont="1" applyFill="1" applyBorder="1" applyAlignment="1">
      <alignment horizontal="center" wrapText="1"/>
    </xf>
    <xf numFmtId="0" fontId="37" fillId="14" borderId="1" xfId="0" applyFont="1" applyFill="1" applyBorder="1" applyAlignment="1">
      <alignment horizontal="center" wrapText="1"/>
    </xf>
    <xf numFmtId="0" fontId="37" fillId="9" borderId="1" xfId="0" applyFont="1" applyFill="1" applyBorder="1" applyAlignment="1">
      <alignment horizontal="center"/>
    </xf>
    <xf numFmtId="0" fontId="33" fillId="13" borderId="1" xfId="0" applyFont="1" applyFill="1" applyBorder="1" applyAlignment="1">
      <alignment horizontal="center"/>
    </xf>
    <xf numFmtId="0" fontId="27" fillId="9" borderId="1" xfId="0" applyFont="1" applyFill="1" applyBorder="1" applyAlignment="1">
      <alignment horizontal="center"/>
    </xf>
    <xf numFmtId="0" fontId="26" fillId="2" borderId="1" xfId="0" applyFont="1" applyFill="1" applyBorder="1" applyAlignment="1">
      <alignment horizontal="center" vertical="top" wrapText="1"/>
    </xf>
    <xf numFmtId="0" fontId="23" fillId="6" borderId="1" xfId="0" applyFont="1" applyFill="1" applyBorder="1" applyAlignment="1">
      <alignment horizontal="center"/>
    </xf>
    <xf numFmtId="0" fontId="24" fillId="8" borderId="1" xfId="0" applyFont="1" applyFill="1" applyBorder="1" applyAlignment="1">
      <alignment horizontal="center" vertical="top" wrapText="1"/>
    </xf>
    <xf numFmtId="0" fontId="31" fillId="8" borderId="1" xfId="0" applyFont="1" applyFill="1" applyBorder="1" applyAlignment="1">
      <alignment horizontal="center" vertical="top" wrapText="1"/>
    </xf>
    <xf numFmtId="0" fontId="16" fillId="5" borderId="0" xfId="0" applyFont="1" applyFill="1" applyAlignment="1">
      <alignment horizontal="center" wrapText="1"/>
    </xf>
    <xf numFmtId="0" fontId="17" fillId="5" borderId="0" xfId="0" applyFont="1" applyFill="1" applyAlignment="1">
      <alignment horizontal="center" wrapText="1"/>
    </xf>
    <xf numFmtId="164" fontId="3" fillId="2" borderId="0" xfId="1" applyFont="1" applyFill="1" applyBorder="1" applyAlignment="1">
      <alignment horizontal="right" vertical="top" wrapText="1"/>
    </xf>
    <xf numFmtId="0" fontId="8" fillId="0" borderId="0" xfId="0" applyFont="1" applyBorder="1"/>
    <xf numFmtId="4" fontId="3" fillId="2" borderId="0" xfId="0" applyNumberFormat="1" applyFont="1" applyFill="1" applyAlignment="1">
      <alignment horizontal="right"/>
    </xf>
    <xf numFmtId="164" fontId="8" fillId="0" borderId="0" xfId="1" applyFont="1" applyBorder="1"/>
    <xf numFmtId="0" fontId="55" fillId="0" borderId="1" xfId="0" applyFont="1" applyBorder="1" applyAlignment="1">
      <alignment horizontal="center" vertical="center"/>
    </xf>
    <xf numFmtId="0" fontId="55" fillId="0" borderId="1" xfId="0" applyFont="1" applyFill="1" applyBorder="1" applyAlignment="1">
      <alignment horizontal="center"/>
    </xf>
  </cellXfs>
  <cellStyles count="28">
    <cellStyle name="60% - Accent1 2" xfId="3"/>
    <cellStyle name="60% - Accent2 2" xfId="4"/>
    <cellStyle name="60% - Accent3 2" xfId="5"/>
    <cellStyle name="60% - Accent4 2" xfId="6"/>
    <cellStyle name="60% - Accent5 2" xfId="7"/>
    <cellStyle name="60% - Accent6 2" xfId="8"/>
    <cellStyle name="Comma" xfId="1" builtinId="3"/>
    <cellStyle name="Comma 10" xfId="9"/>
    <cellStyle name="Comma 10 13" xfId="10"/>
    <cellStyle name="Comma 2" xfId="11"/>
    <cellStyle name="Comma 2 2" xfId="12"/>
    <cellStyle name="Comma 3" xfId="13"/>
    <cellStyle name="Comma 3 2" xfId="14"/>
    <cellStyle name="Comma 3 2 2" xfId="15"/>
    <cellStyle name="Comma 4" xfId="16"/>
    <cellStyle name="Comma 5" xfId="17"/>
    <cellStyle name="Comma 6" xfId="18"/>
    <cellStyle name="Comma 8" xfId="19"/>
    <cellStyle name="Neutral 2" xfId="20"/>
    <cellStyle name="Normal" xfId="0" builtinId="0"/>
    <cellStyle name="Normal 2" xfId="21"/>
    <cellStyle name="Normal 2 2" xfId="22"/>
    <cellStyle name="Normal 27 2" xfId="23"/>
    <cellStyle name="Percent" xfId="2" builtinId="5"/>
    <cellStyle name="Percent 2 2" xfId="24"/>
    <cellStyle name="Percent 5" xfId="25"/>
    <cellStyle name="Percent 6" xfId="26"/>
    <cellStyle name="Title 2" xfId="2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800" b="1" i="0" u="none" strike="noStrike" kern="1200" spc="100" baseline="0">
                <a:solidFill>
                  <a:schemeClr val="dk1"/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en-GB" sz="1800">
                <a:solidFill>
                  <a:schemeClr val="dk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NAV BY CLASS OF FUNDS (N'Bn)</a:t>
            </a:r>
            <a:endParaRPr lang="en-GB" sz="1800">
              <a:solidFill>
                <a:sysClr val="windowText" lastClr="0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c:rich>
      </c:tx>
      <c:layout/>
      <c:overlay val="0"/>
      <c:spPr>
        <a:solidFill>
          <a:schemeClr val="lt1"/>
        </a:solidFill>
        <a:ln w="12700" cap="flat" cmpd="sng" algn="ctr">
          <a:solidFill>
            <a:schemeClr val="accent3"/>
          </a:solidFill>
          <a:prstDash val="solid"/>
          <a:miter lim="800000"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800" b="1" i="0" u="none" strike="noStrike" kern="1200" spc="100" baseline="0">
              <a:solidFill>
                <a:schemeClr val="dk1"/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0352501734696999E-2"/>
          <c:y val="0.12704985666184501"/>
          <c:w val="0.94540908679518498"/>
          <c:h val="0.7332719507050280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'NAV Comparison'!$B$2</c:f>
              <c:strCache>
                <c:ptCount val="1"/>
                <c:pt idx="0">
                  <c:v>Week Ended November 1, 2024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solidFill>
                <a:schemeClr val="lt1"/>
              </a:solidFill>
              <a:ln w="12700" cap="flat" cmpd="sng" algn="ctr">
                <a:solidFill>
                  <a:schemeClr val="accent6"/>
                </a:solidFill>
                <a:prstDash val="solid"/>
                <a:miter lim="800000"/>
              </a:ln>
              <a:effectLst/>
            </c:spPr>
            <c:txPr>
              <a:bodyPr rot="0" spcFirstLastPara="1" vertOverflow="ellipsis" vert="horz" wrap="square" lIns="38100" tIns="19050" rIns="38100" bIns="19050" anchor="ctr" anchorCtr="1"/>
              <a:lstStyle/>
              <a:p>
                <a:pPr>
                  <a:defRPr lang="en-US"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'NAV Comparison'!$A$4:$A$10</c:f>
              <c:strCache>
                <c:ptCount val="7"/>
                <c:pt idx="0">
                  <c:v>MONEY MARKET FUNDS</c:v>
                </c:pt>
                <c:pt idx="1">
                  <c:v>BONDS/FIXED INCOME FUNDS</c:v>
                </c:pt>
                <c:pt idx="2">
                  <c:v>DOLLAR FUNDS</c:v>
                </c:pt>
                <c:pt idx="3">
                  <c:v>REAL ESTATE INVESTMENT TRUST</c:v>
                </c:pt>
                <c:pt idx="4">
                  <c:v>BALANCED FUNDS</c:v>
                </c:pt>
                <c:pt idx="5">
                  <c:v>ETHICAL FUNDS</c:v>
                </c:pt>
                <c:pt idx="6">
                  <c:v>SHARI'AH COMPLAINT FUNDS</c:v>
                </c:pt>
              </c:strCache>
            </c:strRef>
          </c:cat>
          <c:val>
            <c:numRef>
              <c:f>'NAV Comparison'!$B$4:$B$10</c:f>
              <c:numCache>
                <c:formatCode>#,##0.00</c:formatCode>
                <c:ptCount val="7"/>
                <c:pt idx="0">
                  <c:v>1514.8873274094046</c:v>
                </c:pt>
                <c:pt idx="1">
                  <c:v>216.99670159178049</c:v>
                </c:pt>
                <c:pt idx="2">
                  <c:v>1786.6225365801627</c:v>
                </c:pt>
                <c:pt idx="3">
                  <c:v>98.953116968937437</c:v>
                </c:pt>
                <c:pt idx="4" formatCode="_-* #,##0.00_-;\-* #,##0.00_-;_-* &quot;-&quot;??_-;_-@_-">
                  <c:v>52.773311659495143</c:v>
                </c:pt>
                <c:pt idx="5">
                  <c:v>5.5148300556700001</c:v>
                </c:pt>
                <c:pt idx="6">
                  <c:v>50.663887289265588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C4-4569-86DB-18C6F766F1CB}"/>
            </c:ext>
          </c:extLst>
        </c:ser>
        <c:ser>
          <c:idx val="1"/>
          <c:order val="1"/>
          <c:tx>
            <c:strRef>
              <c:f>'NAV Comparison'!$C$2</c:f>
              <c:strCache>
                <c:ptCount val="1"/>
                <c:pt idx="0">
                  <c:v>Week Ended November 8, 2024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solidFill>
                <a:schemeClr val="lt1"/>
              </a:solidFill>
              <a:ln w="12700" cap="flat" cmpd="sng" algn="ctr">
                <a:solidFill>
                  <a:schemeClr val="accent6"/>
                </a:solidFill>
                <a:prstDash val="solid"/>
                <a:miter lim="800000"/>
              </a:ln>
              <a:effectLst/>
            </c:spPr>
            <c:txPr>
              <a:bodyPr rot="0" spcFirstLastPara="1" vertOverflow="ellipsis" vert="horz" wrap="square" lIns="38100" tIns="19050" rIns="38100" bIns="19050" anchor="ctr" anchorCtr="1"/>
              <a:lstStyle/>
              <a:p>
                <a:pPr>
                  <a:defRPr lang="en-US"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'NAV Comparison'!$A$4:$A$10</c:f>
              <c:strCache>
                <c:ptCount val="7"/>
                <c:pt idx="0">
                  <c:v>MONEY MARKET FUNDS</c:v>
                </c:pt>
                <c:pt idx="1">
                  <c:v>BONDS/FIXED INCOME FUNDS</c:v>
                </c:pt>
                <c:pt idx="2">
                  <c:v>DOLLAR FUNDS</c:v>
                </c:pt>
                <c:pt idx="3">
                  <c:v>REAL ESTATE INVESTMENT TRUST</c:v>
                </c:pt>
                <c:pt idx="4">
                  <c:v>BALANCED FUNDS</c:v>
                </c:pt>
                <c:pt idx="5">
                  <c:v>ETHICAL FUNDS</c:v>
                </c:pt>
                <c:pt idx="6">
                  <c:v>SHARI'AH COMPLAINT FUNDS</c:v>
                </c:pt>
              </c:strCache>
            </c:strRef>
          </c:cat>
          <c:val>
            <c:numRef>
              <c:f>'NAV Comparison'!$C$4:$C$10</c:f>
              <c:numCache>
                <c:formatCode>#,##0.00</c:formatCode>
                <c:ptCount val="7"/>
                <c:pt idx="0">
                  <c:v>1524.3339450940389</c:v>
                </c:pt>
                <c:pt idx="1">
                  <c:v>212.54965230717568</c:v>
                </c:pt>
                <c:pt idx="2">
                  <c:v>1806.0750965561135</c:v>
                </c:pt>
                <c:pt idx="3">
                  <c:v>99.081658987424433</c:v>
                </c:pt>
                <c:pt idx="4" formatCode="_-* #,##0.00_-;\-* #,##0.00_-;_-* &quot;-&quot;??_-;_-@_-">
                  <c:v>52.945664168085024</c:v>
                </c:pt>
                <c:pt idx="5">
                  <c:v>5.5579649241800002</c:v>
                </c:pt>
                <c:pt idx="6">
                  <c:v>51.182391263795019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0C4-4569-86DB-18C6F766F1C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0944175"/>
        <c:axId val="10939183"/>
      </c:barChart>
      <c:catAx>
        <c:axId val="109441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10939183"/>
        <c:crosses val="autoZero"/>
        <c:auto val="1"/>
        <c:lblAlgn val="ctr"/>
        <c:lblOffset val="100"/>
        <c:noMultiLvlLbl val="0"/>
      </c:catAx>
      <c:valAx>
        <c:axId val="109391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1094417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200" b="0" i="0" u="none" strike="noStrike" kern="1200" baseline="0">
              <a:solidFill>
                <a:schemeClr val="tx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pattFill prst="pct40">
      <a:fgClr>
        <a:schemeClr val="accent1"/>
      </a:fgClr>
      <a:bgClr>
        <a:schemeClr val="bg1"/>
      </a:bgClr>
    </a:pattFill>
    <a:ln>
      <a:noFill/>
    </a:ln>
    <a:effectLst/>
  </c:spPr>
  <c:txPr>
    <a:bodyPr/>
    <a:lstStyle/>
    <a:p>
      <a:pPr>
        <a:defRPr lang="en-US">
          <a:latin typeface="Tahoma" panose="020B0604030504040204" pitchFamily="34" charset="0"/>
          <a:ea typeface="Tahoma" panose="020B0604030504040204" pitchFamily="34" charset="0"/>
          <a:cs typeface="Tahoma" panose="020B060403050404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2000" b="0" i="0" u="none" strike="noStrike" kern="1200" spc="0" baseline="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en-US" sz="200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PERCENTAGE MARKET</a:t>
            </a:r>
            <a:r>
              <a:rPr lang="en-US" sz="2000" baseline="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 SHARE OF FUNDS BY CLASS</a:t>
            </a:r>
          </a:p>
          <a:p>
            <a:pPr>
              <a:defRPr lang="en-US" sz="2000" b="0" i="0" u="none" strike="noStrike" kern="1200" spc="0" baseline="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en-US" sz="1600" baseline="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AS AT 8TH NOVEMBER, 2024</a:t>
            </a:r>
            <a:endParaRPr lang="en-US" sz="160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c:rich>
      </c:tx>
      <c:layout>
        <c:manualLayout>
          <c:xMode val="edge"/>
          <c:yMode val="edge"/>
          <c:x val="0.23407699914128499"/>
          <c:y val="3.1719518867076697E-2"/>
        </c:manualLayout>
      </c:layout>
      <c:overlay val="0"/>
      <c:spPr>
        <a:solidFill>
          <a:schemeClr val="dk1"/>
        </a:solidFill>
        <a:ln w="12700" cap="flat" cmpd="sng" algn="ctr">
          <a:solidFill>
            <a:schemeClr val="dk1">
              <a:shade val="15000"/>
            </a:schemeClr>
          </a:solidFill>
          <a:prstDash val="solid"/>
          <a:miter lim="800000"/>
        </a:ln>
        <a:effectLst/>
      </c:spPr>
    </c:title>
    <c:autoTitleDeleted val="0"/>
    <c:view3D>
      <c:rotX val="30"/>
      <c:rotY val="235"/>
      <c:depthPercent val="100"/>
      <c:rAngAx val="0"/>
    </c:view3D>
    <c:floor>
      <c:thickness val="0"/>
      <c:spPr>
        <a:noFill/>
        <a:ln>
          <a:noFill/>
        </a:ln>
        <a:effectLst/>
      </c:spPr>
    </c:floor>
    <c:sideWall>
      <c:thickness val="0"/>
      <c:spPr>
        <a:noFill/>
        <a:ln>
          <a:noFill/>
        </a:ln>
        <a:effectLst/>
      </c:spPr>
    </c:sideWall>
    <c:backWall>
      <c:thickness val="0"/>
      <c:spPr>
        <a:noFill/>
        <a:ln>
          <a:noFill/>
        </a:ln>
        <a:effectLst/>
      </c:spPr>
    </c:backWall>
    <c:plotArea>
      <c:layout>
        <c:manualLayout>
          <c:layoutTarget val="inner"/>
          <c:xMode val="edge"/>
          <c:yMode val="edge"/>
          <c:x val="0.15552536576715401"/>
          <c:y val="0.147427288479518"/>
          <c:w val="0.84316500743410205"/>
          <c:h val="0.81423920364184199"/>
        </c:manualLayout>
      </c:layout>
      <c:pie3DChart>
        <c:varyColors val="1"/>
        <c:ser>
          <c:idx val="0"/>
          <c:order val="0"/>
          <c:tx>
            <c:strRef>
              <c:f>'Market Share'!$B$1</c:f>
              <c:strCache>
                <c:ptCount val="1"/>
                <c:pt idx="0">
                  <c:v>8-Nov</c:v>
                </c:pt>
              </c:strCache>
            </c:strRef>
          </c:tx>
          <c:explosion val="1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36C1-41E2-BD65-8D78AE0E5F1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36C1-41E2-BD65-8D78AE0E5F1E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36C1-41E2-BD65-8D78AE0E5F1E}"/>
              </c:ext>
            </c:extLst>
          </c:dPt>
          <c:dPt>
            <c:idx val="3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36C1-41E2-BD65-8D78AE0E5F1E}"/>
              </c:ext>
            </c:extLst>
          </c:dPt>
          <c:dPt>
            <c:idx val="4"/>
            <c:bubble3D val="0"/>
            <c:spPr>
              <a:solidFill>
                <a:schemeClr val="accent3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36C1-41E2-BD65-8D78AE0E5F1E}"/>
              </c:ext>
            </c:extLst>
          </c:dPt>
          <c:dPt>
            <c:idx val="5"/>
            <c:bubble3D val="0"/>
            <c:spPr>
              <a:solidFill>
                <a:schemeClr val="accent5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36C1-41E2-BD65-8D78AE0E5F1E}"/>
              </c:ext>
            </c:extLst>
          </c:dPt>
          <c:dPt>
            <c:idx val="6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36C1-41E2-BD65-8D78AE0E5F1E}"/>
              </c:ext>
            </c:extLst>
          </c:dPt>
          <c:dPt>
            <c:idx val="7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F-36C1-41E2-BD65-8D78AE0E5F1E}"/>
              </c:ext>
            </c:extLst>
          </c:dPt>
          <c:dLbls>
            <c:dLbl>
              <c:idx val="0"/>
              <c:layout>
                <c:manualLayout>
                  <c:x val="-4.31242058258033E-2"/>
                  <c:y val="0.11599855860808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6C1-41E2-BD65-8D78AE0E5F1E}"/>
                </c:ext>
              </c:extLst>
            </c:dLbl>
            <c:dLbl>
              <c:idx val="1"/>
              <c:layout>
                <c:manualLayout>
                  <c:x val="-8.3929154372232501E-2"/>
                  <c:y val="5.523740886099379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6C1-41E2-BD65-8D78AE0E5F1E}"/>
                </c:ext>
              </c:extLst>
            </c:dLbl>
            <c:dLbl>
              <c:idx val="2"/>
              <c:layout>
                <c:manualLayout>
                  <c:x val="-2.65269710991878E-2"/>
                  <c:y val="-9.756311755718939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36C1-41E2-BD65-8D78AE0E5F1E}"/>
                </c:ext>
              </c:extLst>
            </c:dLbl>
            <c:dLbl>
              <c:idx val="3"/>
              <c:layout>
                <c:manualLayout>
                  <c:x val="-1.82320668832372E-2"/>
                  <c:y val="3.176145796708879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36C1-41E2-BD65-8D78AE0E5F1E}"/>
                </c:ext>
              </c:extLst>
            </c:dLbl>
            <c:dLbl>
              <c:idx val="4"/>
              <c:layout>
                <c:manualLayout>
                  <c:x val="-2.2105334402515699E-2"/>
                  <c:y val="-0.10218920639283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36C1-41E2-BD65-8D78AE0E5F1E}"/>
                </c:ext>
              </c:extLst>
            </c:dLbl>
            <c:dLbl>
              <c:idx val="5"/>
              <c:layout>
                <c:manualLayout>
                  <c:x val="0.17345977414073499"/>
                  <c:y val="7.180870146235150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36C1-41E2-BD65-8D78AE0E5F1E}"/>
                </c:ext>
              </c:extLst>
            </c:dLbl>
            <c:dLbl>
              <c:idx val="6"/>
              <c:layout>
                <c:manualLayout>
                  <c:x val="-0.11676596925004"/>
                  <c:y val="0.11599855860808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36C1-41E2-BD65-8D78AE0E5F1E}"/>
                </c:ext>
              </c:extLst>
            </c:dLbl>
            <c:dLbl>
              <c:idx val="7"/>
              <c:layout>
                <c:manualLayout>
                  <c:x val="-0.23297582723395899"/>
                  <c:y val="-0.3286625827229129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36C1-41E2-BD65-8D78AE0E5F1E}"/>
                </c:ext>
              </c:extLst>
            </c:dLbl>
            <c:spPr>
              <a:gradFill rotWithShape="1">
                <a:gsLst>
                  <a:gs pos="0">
                    <a:schemeClr val="dk1">
                      <a:satMod val="103000"/>
                      <a:lumMod val="102000"/>
                      <a:tint val="94000"/>
                    </a:schemeClr>
                  </a:gs>
                  <a:gs pos="50000">
                    <a:schemeClr val="dk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dk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6350" cap="flat" cmpd="sng" algn="ctr">
                <a:solidFill>
                  <a:schemeClr val="dk1"/>
                </a:solidFill>
                <a:prstDash val="solid"/>
                <a:miter lim="800000"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1100" b="0" i="0" u="none" strike="noStrike" kern="1200" baseline="0">
                    <a:solidFill>
                      <a:schemeClr val="lt1"/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2540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'Market Share'!$A$2:$A$9</c:f>
              <c:strCache>
                <c:ptCount val="8"/>
                <c:pt idx="0">
                  <c:v>ETHICAL FUNDS</c:v>
                </c:pt>
                <c:pt idx="1">
                  <c:v>EQUITY BASED FUNDS</c:v>
                </c:pt>
                <c:pt idx="2">
                  <c:v>SHARI'AH COMPLAINT FUNDS</c:v>
                </c:pt>
                <c:pt idx="3">
                  <c:v>BALANCED FUNDS</c:v>
                </c:pt>
                <c:pt idx="4">
                  <c:v>REAL ESTATE INVESTMENT TRUST</c:v>
                </c:pt>
                <c:pt idx="5">
                  <c:v>BONDS/FIXED INCOME FUNDS</c:v>
                </c:pt>
                <c:pt idx="6">
                  <c:v>MONEY MARKET FUNDS</c:v>
                </c:pt>
                <c:pt idx="7">
                  <c:v>DOLLAR FUNDS</c:v>
                </c:pt>
              </c:strCache>
            </c:strRef>
          </c:cat>
          <c:val>
            <c:numRef>
              <c:f>'Market Share'!$B$2:$B$9</c:f>
              <c:numCache>
                <c:formatCode>#,##0.00</c:formatCode>
                <c:ptCount val="8"/>
                <c:pt idx="0">
                  <c:v>5557964924.1800003</c:v>
                </c:pt>
                <c:pt idx="1">
                  <c:v>29877584741.98</c:v>
                </c:pt>
                <c:pt idx="2" formatCode="_-* #,##0.00_-;\-* #,##0.00_-;_-* &quot;-&quot;??_-;_-@_-">
                  <c:v>51182391263.795021</c:v>
                </c:pt>
                <c:pt idx="3">
                  <c:v>52945664168.085022</c:v>
                </c:pt>
                <c:pt idx="4">
                  <c:v>99081658987.424438</c:v>
                </c:pt>
                <c:pt idx="5">
                  <c:v>212549652307.17569</c:v>
                </c:pt>
                <c:pt idx="6">
                  <c:v>1524333945094.0388</c:v>
                </c:pt>
                <c:pt idx="7">
                  <c:v>1806075096556.1135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36C1-41E2-BD65-8D78AE0E5F1E}"/>
            </c:ext>
          </c:extLst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pattFill prst="pct40">
      <a:fgClr>
        <a:schemeClr val="accent1"/>
      </a:fgClr>
      <a:bgClr>
        <a:schemeClr val="bg1"/>
      </a:bgClr>
    </a:pattFill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  <a:effectLst>
      <a:outerShdw blurRad="50800" dist="50800" dir="5400000" algn="ctr" rotWithShape="0">
        <a:schemeClr val="accent3">
          <a:lumMod val="20000"/>
          <a:lumOff val="80000"/>
        </a:schemeClr>
      </a:outerShdw>
    </a:effectLst>
  </c:spPr>
  <c:txPr>
    <a:bodyPr/>
    <a:lstStyle/>
    <a:p>
      <a:pPr>
        <a:defRPr lang="en-US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600" b="1" i="0" u="none" strike="noStrike" kern="1200" cap="all" spc="120" normalizeH="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chemeClr val="bg1"/>
                </a:solidFill>
              </a:rPr>
              <a:t>8-WEEK MOVEMENT IN TOTAL NAV (N'Bn)</a:t>
            </a:r>
          </a:p>
        </c:rich>
      </c:tx>
      <c:layout>
        <c:manualLayout>
          <c:xMode val="edge"/>
          <c:yMode val="edge"/>
          <c:x val="0.259825017515738"/>
          <c:y val="1.568627838475300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600" b="1" i="0" u="none" strike="noStrike" kern="1200" cap="all" spc="120" normalizeH="0" baseline="0">
              <a:solidFill>
                <a:schemeClr val="bg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'8-Week Movement in NAV'!$A$3</c:f>
              <c:strCache>
                <c:ptCount val="1"/>
                <c:pt idx="0">
                  <c:v>TOTAL NAV</c:v>
                </c:pt>
              </c:strCache>
            </c:strRef>
          </c:tx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accent1"/>
              </a:solidFill>
              <a:ln w="9525">
                <a:solidFill>
                  <a:schemeClr val="accent1"/>
                </a:solidFill>
                <a:round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1"/>
                </a:solidFill>
                <a:prstDash val="sysDash"/>
              </a:ln>
              <a:effectLst/>
            </c:spPr>
            <c:trendlineType val="linear"/>
            <c:dispRSqr val="0"/>
            <c:dispEq val="0"/>
          </c:trendline>
          <c:cat>
            <c:numRef>
              <c:f>'8-Week Movement in NAV'!$B$2:$I$2</c:f>
              <c:numCache>
                <c:formatCode>d\-mmm</c:formatCode>
                <c:ptCount val="8"/>
                <c:pt idx="0">
                  <c:v>45555</c:v>
                </c:pt>
                <c:pt idx="1">
                  <c:v>45562</c:v>
                </c:pt>
                <c:pt idx="2">
                  <c:v>45569</c:v>
                </c:pt>
                <c:pt idx="3">
                  <c:v>45576</c:v>
                </c:pt>
                <c:pt idx="4">
                  <c:v>45583</c:v>
                </c:pt>
                <c:pt idx="5">
                  <c:v>45590</c:v>
                </c:pt>
                <c:pt idx="6">
                  <c:v>45597</c:v>
                </c:pt>
                <c:pt idx="7">
                  <c:v>45604</c:v>
                </c:pt>
              </c:numCache>
            </c:numRef>
          </c:cat>
          <c:val>
            <c:numRef>
              <c:f>'8-Week Movement in NAV'!$B$3:$I$3</c:f>
              <c:numCache>
                <c:formatCode>_-* #,##0.00_-;\-* #,##0.00_-;_-* "-"??_-;_-@_-</c:formatCode>
                <c:ptCount val="8"/>
                <c:pt idx="0">
                  <c:v>3459.9856712522856</c:v>
                </c:pt>
                <c:pt idx="1">
                  <c:v>3518.3374037557901</c:v>
                </c:pt>
                <c:pt idx="2">
                  <c:v>3587.8911717657538</c:v>
                </c:pt>
                <c:pt idx="3">
                  <c:v>3608.6485199322269</c:v>
                </c:pt>
                <c:pt idx="4">
                  <c:v>3649.8560176552623</c:v>
                </c:pt>
                <c:pt idx="5">
                  <c:v>3681.0930784539851</c:v>
                </c:pt>
                <c:pt idx="6">
                  <c:v>3756.0739614136678</c:v>
                </c:pt>
                <c:pt idx="7">
                  <c:v>3781.6039580427923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08B-4464-8D73-A29E32154DB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917563183"/>
        <c:axId val="917583983"/>
      </c:lineChart>
      <c:dateAx>
        <c:axId val="917563183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800" b="0" i="0" u="none" strike="noStrike" kern="1200" cap="all" spc="120" normalizeH="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7583983"/>
        <c:crosses val="autoZero"/>
        <c:auto val="1"/>
        <c:lblOffset val="100"/>
        <c:baseTimeUnit val="days"/>
      </c:dateAx>
      <c:valAx>
        <c:axId val="917583983"/>
        <c:scaling>
          <c:orientation val="minMax"/>
        </c:scaling>
        <c:delete val="0"/>
        <c:axPos val="l"/>
        <c:numFmt formatCode="_-* #,##0.00_-;\-* #,##0.00_-;_-* &quot;-&quot;??_-;_-@_-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756318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tx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n-US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defRPr lang="en-US" sz="1600" b="1" i="0" u="none" strike="noStrike" kern="1200" spc="100" baseline="0">
                <a:solidFill>
                  <a:sysClr val="window" lastClr="FFFFFF">
                    <a:lumMod val="95000"/>
                  </a:sys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 sz="1600" b="1" i="0" u="none" strike="noStrike" kern="1200" cap="all" spc="120" normalizeH="0" baseline="0">
                <a:solidFill>
                  <a:schemeClr val="bg1"/>
                </a:solidFill>
              </a:rPr>
              <a:t>8-WEEK MOVEMENT IN </a:t>
            </a:r>
            <a:r>
              <a:rPr lang="en-US"/>
              <a:t>AGGREGATE </a:t>
            </a:r>
            <a:r>
              <a:rPr lang="en-US" sz="1400" b="1" i="0" u="none" strike="noStrike" kern="1200" spc="100" baseline="0">
                <a:solidFill>
                  <a:sysClr val="window" lastClr="FFFFFF">
                    <a:lumMod val="95000"/>
                  </a:sys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</a:rPr>
              <a:t>ETFs </a:t>
            </a:r>
            <a:r>
              <a:rPr lang="en-US" sz="1600" b="1" i="0" u="none" strike="noStrike" kern="1200" cap="all" spc="120" normalizeH="0" baseline="0">
                <a:solidFill>
                  <a:schemeClr val="bg1"/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</a:rPr>
              <a:t>(N'Bn)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 lang="en-US" sz="1600" b="1" i="0" u="none" strike="noStrike" kern="1200" spc="100" baseline="0">
              <a:solidFill>
                <a:sysClr val="window" lastClr="FFFFFF">
                  <a:lumMod val="95000"/>
                </a:sys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'8-Week Movement in ETFs'!$A$3</c:f>
              <c:strCache>
                <c:ptCount val="1"/>
                <c:pt idx="0">
                  <c:v>ETFs AGGREGATE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'8-Week Movement in ETFs'!$B$2:$I$2</c:f>
              <c:numCache>
                <c:formatCode>d\-mmm</c:formatCode>
                <c:ptCount val="8"/>
                <c:pt idx="0">
                  <c:v>45555</c:v>
                </c:pt>
                <c:pt idx="1">
                  <c:v>45562</c:v>
                </c:pt>
                <c:pt idx="2">
                  <c:v>45569</c:v>
                </c:pt>
                <c:pt idx="3">
                  <c:v>45576</c:v>
                </c:pt>
                <c:pt idx="4">
                  <c:v>45583</c:v>
                </c:pt>
                <c:pt idx="5">
                  <c:v>45590</c:v>
                </c:pt>
                <c:pt idx="6">
                  <c:v>45597</c:v>
                </c:pt>
                <c:pt idx="7">
                  <c:v>45604</c:v>
                </c:pt>
              </c:numCache>
            </c:numRef>
          </c:cat>
          <c:val>
            <c:numRef>
              <c:f>'8-Week Movement in ETFs'!$B$3:$I$3</c:f>
              <c:numCache>
                <c:formatCode>_-* #,##0.00_-;\-* #,##0.00_-;_-* "-"??_-;_-@_-</c:formatCode>
                <c:ptCount val="8"/>
                <c:pt idx="0">
                  <c:v>12.3487801515176</c:v>
                </c:pt>
                <c:pt idx="1">
                  <c:v>12.596631014149999</c:v>
                </c:pt>
                <c:pt idx="2">
                  <c:v>12.728824087969999</c:v>
                </c:pt>
                <c:pt idx="3">
                  <c:v>12.697813827940001</c:v>
                </c:pt>
                <c:pt idx="4">
                  <c:v>12.701048297550301</c:v>
                </c:pt>
                <c:pt idx="5">
                  <c:v>12.789155111611999</c:v>
                </c:pt>
                <c:pt idx="6">
                  <c:v>13.1600670153069</c:v>
                </c:pt>
                <c:pt idx="7">
                  <c:v>12.888080361994271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33E-4C32-8EA2-A8782F52023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602158223"/>
        <c:axId val="602149103"/>
      </c:lineChart>
      <c:dateAx>
        <c:axId val="602158223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2149103"/>
        <c:crosses val="autoZero"/>
        <c:auto val="1"/>
        <c:lblOffset val="100"/>
        <c:baseTimeUnit val="days"/>
      </c:dateAx>
      <c:valAx>
        <c:axId val="6021491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_-* #,##0.00_-;\-* #,##0.0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215822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 lang="en-US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3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510540</xdr:colOff>
      <xdr:row>22</xdr:row>
      <xdr:rowOff>127635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560295</xdr:colOff>
      <xdr:row>30</xdr:row>
      <xdr:rowOff>156883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588819</xdr:colOff>
      <xdr:row>19</xdr:row>
      <xdr:rowOff>8659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38099</xdr:colOff>
      <xdr:row>18</xdr:row>
      <xdr:rowOff>19050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0000"/>
  </sheetPr>
  <dimension ref="A1:AB238"/>
  <sheetViews>
    <sheetView tabSelected="1" zoomScaleNormal="100" workbookViewId="0">
      <pane ySplit="1" topLeftCell="A2" activePane="bottomLeft" state="frozen"/>
      <selection pane="bottomLeft" activeCell="A2" sqref="A2"/>
    </sheetView>
  </sheetViews>
  <sheetFormatPr defaultColWidth="9" defaultRowHeight="14.4"/>
  <cols>
    <col min="1" max="1" width="6" customWidth="1"/>
    <col min="2" max="2" width="39.109375" customWidth="1"/>
    <col min="3" max="3" width="36.109375" customWidth="1"/>
    <col min="4" max="4" width="21" customWidth="1"/>
    <col min="8" max="8" width="9.88671875" customWidth="1"/>
    <col min="11" max="11" width="20.5546875" customWidth="1"/>
    <col min="13" max="13" width="10" customWidth="1"/>
    <col min="14" max="14" width="10.109375" customWidth="1"/>
    <col min="15" max="15" width="9.88671875" customWidth="1"/>
    <col min="17" max="17" width="9.109375" customWidth="1"/>
    <col min="20" max="20" width="8.33203125" customWidth="1"/>
    <col min="24" max="24" width="18.88671875" customWidth="1"/>
    <col min="25" max="25" width="11.33203125" customWidth="1"/>
    <col min="26" max="26" width="15.88671875" customWidth="1"/>
    <col min="27" max="27" width="17.33203125" customWidth="1"/>
  </cols>
  <sheetData>
    <row r="1" spans="1:25" ht="27">
      <c r="A1" s="178" t="s">
        <v>0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  <c r="O1" s="178"/>
      <c r="P1" s="178"/>
      <c r="Q1" s="178"/>
      <c r="R1" s="178"/>
      <c r="S1" s="178"/>
      <c r="T1" s="178"/>
      <c r="U1" s="178"/>
      <c r="V1" s="178"/>
    </row>
    <row r="2" spans="1:25" ht="15" customHeight="1">
      <c r="A2" s="50"/>
      <c r="B2" s="51"/>
      <c r="C2" s="51"/>
      <c r="D2" s="179" t="s">
        <v>1</v>
      </c>
      <c r="E2" s="179"/>
      <c r="F2" s="179"/>
      <c r="G2" s="179"/>
      <c r="H2" s="179"/>
      <c r="I2" s="179"/>
      <c r="J2" s="179"/>
      <c r="K2" s="180" t="s">
        <v>2</v>
      </c>
      <c r="L2" s="179"/>
      <c r="M2" s="179"/>
      <c r="N2" s="179"/>
      <c r="O2" s="179"/>
      <c r="P2" s="179"/>
      <c r="Q2" s="179"/>
      <c r="R2" s="179" t="s">
        <v>3</v>
      </c>
      <c r="S2" s="179"/>
      <c r="T2" s="179"/>
      <c r="U2" s="179" t="s">
        <v>4</v>
      </c>
      <c r="V2" s="179"/>
    </row>
    <row r="3" spans="1:25" ht="20.399999999999999">
      <c r="A3" s="52" t="s">
        <v>5</v>
      </c>
      <c r="B3" s="53" t="s">
        <v>6</v>
      </c>
      <c r="C3" s="54" t="s">
        <v>7</v>
      </c>
      <c r="D3" s="55" t="s">
        <v>8</v>
      </c>
      <c r="E3" s="56" t="s">
        <v>9</v>
      </c>
      <c r="F3" s="164" t="s">
        <v>300</v>
      </c>
      <c r="G3" s="56" t="s">
        <v>11</v>
      </c>
      <c r="H3" s="56" t="s">
        <v>12</v>
      </c>
      <c r="I3" s="56" t="s">
        <v>13</v>
      </c>
      <c r="J3" s="56" t="s">
        <v>14</v>
      </c>
      <c r="K3" s="79" t="s">
        <v>8</v>
      </c>
      <c r="L3" s="56" t="s">
        <v>9</v>
      </c>
      <c r="M3" s="56" t="s">
        <v>10</v>
      </c>
      <c r="N3" s="56" t="s">
        <v>11</v>
      </c>
      <c r="O3" s="56" t="s">
        <v>12</v>
      </c>
      <c r="P3" s="56" t="s">
        <v>13</v>
      </c>
      <c r="Q3" s="56" t="s">
        <v>14</v>
      </c>
      <c r="R3" s="55" t="s">
        <v>15</v>
      </c>
      <c r="S3" s="56" t="s">
        <v>16</v>
      </c>
      <c r="T3" s="56" t="s">
        <v>17</v>
      </c>
      <c r="U3" s="56" t="s">
        <v>18</v>
      </c>
      <c r="V3" s="56" t="s">
        <v>19</v>
      </c>
    </row>
    <row r="4" spans="1:25" ht="5.25" customHeight="1">
      <c r="A4" s="57"/>
      <c r="B4" s="177"/>
      <c r="C4" s="177"/>
      <c r="D4" s="177"/>
      <c r="E4" s="177"/>
      <c r="F4" s="177"/>
      <c r="G4" s="177"/>
      <c r="H4" s="177"/>
      <c r="I4" s="177"/>
      <c r="J4" s="177"/>
      <c r="K4" s="177"/>
      <c r="L4" s="177"/>
      <c r="M4" s="177"/>
      <c r="N4" s="177"/>
      <c r="O4" s="177"/>
      <c r="P4" s="177"/>
      <c r="Q4" s="177"/>
      <c r="R4" s="177"/>
      <c r="S4" s="177"/>
      <c r="T4" s="177"/>
      <c r="U4" s="177"/>
      <c r="V4" s="177"/>
    </row>
    <row r="5" spans="1:25" ht="15" customHeight="1">
      <c r="A5" s="176" t="s">
        <v>20</v>
      </c>
      <c r="B5" s="176"/>
      <c r="C5" s="176"/>
      <c r="D5" s="176"/>
      <c r="E5" s="176"/>
      <c r="F5" s="176"/>
      <c r="G5" s="176"/>
      <c r="H5" s="176"/>
      <c r="I5" s="176"/>
      <c r="J5" s="176"/>
      <c r="K5" s="176"/>
      <c r="L5" s="176"/>
      <c r="M5" s="176"/>
      <c r="N5" s="176"/>
      <c r="O5" s="176"/>
      <c r="P5" s="176"/>
      <c r="Q5" s="176"/>
      <c r="R5" s="176"/>
      <c r="S5" s="176"/>
      <c r="T5" s="176"/>
      <c r="U5" s="176"/>
      <c r="V5" s="176"/>
    </row>
    <row r="6" spans="1:25">
      <c r="A6" s="187">
        <v>1</v>
      </c>
      <c r="B6" s="160" t="s">
        <v>21</v>
      </c>
      <c r="C6" s="159" t="s">
        <v>22</v>
      </c>
      <c r="D6" s="58">
        <v>1170048423.8199999</v>
      </c>
      <c r="E6" s="59">
        <f t="shared" ref="E6:E23" si="0">(D6/$D$24)</f>
        <v>3.9445707233383254E-2</v>
      </c>
      <c r="F6" s="60">
        <v>366.74869999999999</v>
      </c>
      <c r="G6" s="60">
        <v>366.74869999999999</v>
      </c>
      <c r="H6" s="61">
        <v>1812</v>
      </c>
      <c r="I6" s="80">
        <v>-4.3E-3</v>
      </c>
      <c r="J6" s="80">
        <v>0.21940000000000001</v>
      </c>
      <c r="K6" s="58">
        <v>1182407735.29</v>
      </c>
      <c r="L6" s="59">
        <f>(K6/$K$24)</f>
        <v>3.9575077620937621E-2</v>
      </c>
      <c r="M6" s="60">
        <v>369.4248</v>
      </c>
      <c r="N6" s="60">
        <v>369.4248</v>
      </c>
      <c r="O6" s="61">
        <v>1948</v>
      </c>
      <c r="P6" s="80">
        <v>7.3000000000000001E-3</v>
      </c>
      <c r="Q6" s="80">
        <v>0.22800000000000001</v>
      </c>
      <c r="R6" s="86">
        <f>((K6-D6)/D6)</f>
        <v>1.0563076893560589E-2</v>
      </c>
      <c r="S6" s="86">
        <f>((N6-G6)/G6)</f>
        <v>7.2968220473583669E-3</v>
      </c>
      <c r="T6" s="86">
        <f>((O6-H6)/H6)</f>
        <v>7.505518763796909E-2</v>
      </c>
      <c r="U6" s="87">
        <f>P6-I6</f>
        <v>1.1599999999999999E-2</v>
      </c>
      <c r="V6" s="88">
        <f>Q6-J6</f>
        <v>8.5999999999999965E-3</v>
      </c>
    </row>
    <row r="7" spans="1:25">
      <c r="A7" s="187">
        <v>2</v>
      </c>
      <c r="B7" s="160" t="s">
        <v>23</v>
      </c>
      <c r="C7" s="159" t="s">
        <v>24</v>
      </c>
      <c r="D7" s="62">
        <v>614659897.50999999</v>
      </c>
      <c r="E7" s="59">
        <f t="shared" si="0"/>
        <v>2.0721958058900623E-2</v>
      </c>
      <c r="F7" s="62">
        <v>231.27269999999999</v>
      </c>
      <c r="G7" s="62">
        <v>233.92250000000001</v>
      </c>
      <c r="H7" s="61">
        <v>454</v>
      </c>
      <c r="I7" s="80">
        <v>1.9629999999999999E-3</v>
      </c>
      <c r="J7" s="80">
        <v>0.19550000000000001</v>
      </c>
      <c r="K7" s="62">
        <v>604288428.90999997</v>
      </c>
      <c r="L7" s="59">
        <f t="shared" ref="L7:L23" si="1">(K7/$K$24)</f>
        <v>2.0225477866721082E-2</v>
      </c>
      <c r="M7" s="62">
        <v>232.52860000000001</v>
      </c>
      <c r="N7" s="62">
        <v>235.1977</v>
      </c>
      <c r="O7" s="61">
        <v>455</v>
      </c>
      <c r="P7" s="80">
        <v>-2.5850000000000001E-3</v>
      </c>
      <c r="Q7" s="80">
        <v>0.20200000000000001</v>
      </c>
      <c r="R7" s="86">
        <f t="shared" ref="R7:R24" si="2">((K7-D7)/D7)</f>
        <v>-1.6873507840701921E-2</v>
      </c>
      <c r="S7" s="86">
        <f t="shared" ref="S7:S24" si="3">((N7-G7)/G7)</f>
        <v>5.4513781273711759E-3</v>
      </c>
      <c r="T7" s="86">
        <f t="shared" ref="T7:T24" si="4">((O7-H7)/H7)</f>
        <v>2.2026431718061676E-3</v>
      </c>
      <c r="U7" s="87">
        <f t="shared" ref="U7:U24" si="5">P7-I7</f>
        <v>-4.548E-3</v>
      </c>
      <c r="V7" s="88">
        <f t="shared" ref="V7:V24" si="6">Q7-J7</f>
        <v>6.5000000000000058E-3</v>
      </c>
    </row>
    <row r="8" spans="1:25">
      <c r="A8" s="187">
        <v>3</v>
      </c>
      <c r="B8" s="160" t="s">
        <v>25</v>
      </c>
      <c r="C8" s="159" t="s">
        <v>26</v>
      </c>
      <c r="D8" s="62">
        <v>3778922720.9000001</v>
      </c>
      <c r="E8" s="59">
        <f t="shared" si="0"/>
        <v>0.12739838477756302</v>
      </c>
      <c r="F8" s="62">
        <v>34.252600000000001</v>
      </c>
      <c r="G8" s="62">
        <v>35.285299999999999</v>
      </c>
      <c r="H8" s="63">
        <v>6610</v>
      </c>
      <c r="I8" s="81">
        <v>1.4169</v>
      </c>
      <c r="J8" s="81">
        <v>0.1484</v>
      </c>
      <c r="K8" s="62">
        <v>3895777049</v>
      </c>
      <c r="L8" s="59">
        <f t="shared" si="1"/>
        <v>0.13039129777870476</v>
      </c>
      <c r="M8" s="62">
        <v>35.290500000000002</v>
      </c>
      <c r="N8" s="62">
        <v>36.354500000000002</v>
      </c>
      <c r="O8" s="63">
        <v>6616</v>
      </c>
      <c r="P8" s="81">
        <v>1.8196000000000001</v>
      </c>
      <c r="Q8" s="81">
        <v>0.18149999999999999</v>
      </c>
      <c r="R8" s="86">
        <f t="shared" si="2"/>
        <v>3.0922656198740552E-2</v>
      </c>
      <c r="S8" s="86">
        <f t="shared" si="3"/>
        <v>3.0301570342323919E-2</v>
      </c>
      <c r="T8" s="86">
        <f t="shared" si="4"/>
        <v>9.0771558245083205E-4</v>
      </c>
      <c r="U8" s="87">
        <f t="shared" si="5"/>
        <v>0.40270000000000006</v>
      </c>
      <c r="V8" s="88">
        <f t="shared" si="6"/>
        <v>3.3099999999999991E-2</v>
      </c>
      <c r="X8" s="89"/>
      <c r="Y8" s="89"/>
    </row>
    <row r="9" spans="1:25">
      <c r="A9" s="187">
        <v>4</v>
      </c>
      <c r="B9" s="160" t="s">
        <v>27</v>
      </c>
      <c r="C9" s="159" t="s">
        <v>28</v>
      </c>
      <c r="D9" s="62">
        <v>560306484.46000004</v>
      </c>
      <c r="E9" s="59">
        <f t="shared" si="0"/>
        <v>1.8889547728988255E-2</v>
      </c>
      <c r="F9" s="62">
        <v>203.8338</v>
      </c>
      <c r="G9" s="62">
        <v>203.8338</v>
      </c>
      <c r="H9" s="61">
        <v>1839</v>
      </c>
      <c r="I9" s="80">
        <v>0.1789</v>
      </c>
      <c r="J9" s="80">
        <v>0.1789</v>
      </c>
      <c r="K9" s="62">
        <v>559659665.70000005</v>
      </c>
      <c r="L9" s="59">
        <f t="shared" si="1"/>
        <v>1.873175728671404E-2</v>
      </c>
      <c r="M9" s="62">
        <v>204.94919999999999</v>
      </c>
      <c r="N9" s="62">
        <v>204.94919999999999</v>
      </c>
      <c r="O9" s="61">
        <v>1846</v>
      </c>
      <c r="P9" s="80">
        <v>5.4721052151311999E-3</v>
      </c>
      <c r="Q9" s="80">
        <v>0.18437185927334299</v>
      </c>
      <c r="R9" s="86">
        <f t="shared" si="2"/>
        <v>-1.1544017032452648E-3</v>
      </c>
      <c r="S9" s="86">
        <f t="shared" si="3"/>
        <v>5.4721052151311218E-3</v>
      </c>
      <c r="T9" s="86">
        <f t="shared" si="4"/>
        <v>3.8064165307232192E-3</v>
      </c>
      <c r="U9" s="87">
        <f t="shared" si="5"/>
        <v>-0.17342789478486881</v>
      </c>
      <c r="V9" s="88">
        <f t="shared" si="6"/>
        <v>5.4718592733429827E-3</v>
      </c>
    </row>
    <row r="10" spans="1:25">
      <c r="A10" s="187">
        <v>5</v>
      </c>
      <c r="B10" s="160" t="s">
        <v>29</v>
      </c>
      <c r="C10" s="159" t="s">
        <v>30</v>
      </c>
      <c r="D10" s="62">
        <v>940192154.97000003</v>
      </c>
      <c r="E10" s="59">
        <f t="shared" si="0"/>
        <v>3.1696589417204935E-2</v>
      </c>
      <c r="F10" s="62">
        <v>1.1359999999999999</v>
      </c>
      <c r="G10" s="62">
        <v>1.1467000000000001</v>
      </c>
      <c r="H10" s="61">
        <v>510</v>
      </c>
      <c r="I10" s="80">
        <v>-5.4699999999999999E-2</v>
      </c>
      <c r="J10" s="80">
        <v>0.14130000000000001</v>
      </c>
      <c r="K10" s="62">
        <v>913241674.40999997</v>
      </c>
      <c r="L10" s="59">
        <f t="shared" si="1"/>
        <v>3.0566114439860813E-2</v>
      </c>
      <c r="M10" s="62">
        <v>1.1587000000000001</v>
      </c>
      <c r="N10" s="62">
        <v>1.1696</v>
      </c>
      <c r="O10" s="61">
        <v>509</v>
      </c>
      <c r="P10" s="80">
        <v>3.4700000000000002E-2</v>
      </c>
      <c r="Q10" s="80">
        <v>0.16420000000000001</v>
      </c>
      <c r="R10" s="86">
        <f t="shared" si="2"/>
        <v>-2.8664864323251035E-2</v>
      </c>
      <c r="S10" s="86">
        <f t="shared" si="3"/>
        <v>1.9970349699136584E-2</v>
      </c>
      <c r="T10" s="86">
        <f t="shared" si="4"/>
        <v>-1.9607843137254902E-3</v>
      </c>
      <c r="U10" s="87">
        <f t="shared" si="5"/>
        <v>8.9400000000000007E-2</v>
      </c>
      <c r="V10" s="88">
        <f t="shared" si="6"/>
        <v>2.2900000000000004E-2</v>
      </c>
    </row>
    <row r="11" spans="1:25">
      <c r="A11" s="187">
        <v>6</v>
      </c>
      <c r="B11" s="160" t="s">
        <v>31</v>
      </c>
      <c r="C11" s="159" t="s">
        <v>32</v>
      </c>
      <c r="D11" s="64">
        <v>93528166.829999998</v>
      </c>
      <c r="E11" s="59">
        <f t="shared" si="0"/>
        <v>3.1531042747840717E-3</v>
      </c>
      <c r="F11" s="62">
        <v>167.71469999999999</v>
      </c>
      <c r="G11" s="62">
        <v>168.35400000000001</v>
      </c>
      <c r="H11" s="63">
        <v>94</v>
      </c>
      <c r="I11" s="81">
        <v>1.4500000000000001E-2</v>
      </c>
      <c r="J11" s="81">
        <v>0.20930000000000001</v>
      </c>
      <c r="K11" s="64">
        <v>93248099.579999998</v>
      </c>
      <c r="L11" s="59">
        <f t="shared" si="1"/>
        <v>3.1210052748668199E-3</v>
      </c>
      <c r="M11" s="62">
        <v>167.21379999999999</v>
      </c>
      <c r="N11" s="62">
        <v>167.8466</v>
      </c>
      <c r="O11" s="63">
        <v>94</v>
      </c>
      <c r="P11" s="81">
        <v>4.6800000000000001E-2</v>
      </c>
      <c r="Q11" s="81">
        <v>0.2072</v>
      </c>
      <c r="R11" s="86">
        <f t="shared" si="2"/>
        <v>-2.9944695752356595E-3</v>
      </c>
      <c r="S11" s="86">
        <f t="shared" si="3"/>
        <v>-3.0138874039227952E-3</v>
      </c>
      <c r="T11" s="86">
        <f t="shared" si="4"/>
        <v>0</v>
      </c>
      <c r="U11" s="87">
        <f t="shared" si="5"/>
        <v>3.2300000000000002E-2</v>
      </c>
      <c r="V11" s="88">
        <f t="shared" si="6"/>
        <v>-2.1000000000000185E-3</v>
      </c>
    </row>
    <row r="12" spans="1:25">
      <c r="A12" s="187">
        <v>7</v>
      </c>
      <c r="B12" s="160" t="s">
        <v>33</v>
      </c>
      <c r="C12" s="159" t="s">
        <v>34</v>
      </c>
      <c r="D12" s="62">
        <v>1206470215.7</v>
      </c>
      <c r="E12" s="59">
        <f t="shared" si="0"/>
        <v>4.0673590892012688E-2</v>
      </c>
      <c r="F12" s="62">
        <v>295.58999999999997</v>
      </c>
      <c r="G12" s="62">
        <v>299.56</v>
      </c>
      <c r="H12" s="63">
        <v>1633</v>
      </c>
      <c r="I12" s="81">
        <v>3.5999999999999999E-3</v>
      </c>
      <c r="J12" s="81">
        <v>0.31850000000000001</v>
      </c>
      <c r="K12" s="62">
        <v>1082873281.4300001</v>
      </c>
      <c r="L12" s="59">
        <f t="shared" si="1"/>
        <v>3.624366864930989E-2</v>
      </c>
      <c r="M12" s="62">
        <v>300.45</v>
      </c>
      <c r="N12" s="62">
        <v>304.64</v>
      </c>
      <c r="O12" s="63">
        <v>1632</v>
      </c>
      <c r="P12" s="81">
        <v>1.67E-2</v>
      </c>
      <c r="Q12" s="81">
        <v>0.33810000000000001</v>
      </c>
      <c r="R12" s="86">
        <f t="shared" si="2"/>
        <v>-0.1024450771031164</v>
      </c>
      <c r="S12" s="86">
        <f t="shared" si="3"/>
        <v>1.6958205367872826E-2</v>
      </c>
      <c r="T12" s="86">
        <f t="shared" si="4"/>
        <v>-6.1236987140232701E-4</v>
      </c>
      <c r="U12" s="87">
        <f t="shared" si="5"/>
        <v>1.3100000000000001E-2</v>
      </c>
      <c r="V12" s="88">
        <f t="shared" si="6"/>
        <v>1.9600000000000006E-2</v>
      </c>
    </row>
    <row r="13" spans="1:25">
      <c r="A13" s="187">
        <v>8</v>
      </c>
      <c r="B13" s="160" t="s">
        <v>35</v>
      </c>
      <c r="C13" s="159" t="s">
        <v>36</v>
      </c>
      <c r="D13" s="58">
        <v>407156173.99000001</v>
      </c>
      <c r="E13" s="59">
        <f t="shared" si="0"/>
        <v>1.3726409019072145E-2</v>
      </c>
      <c r="F13" s="62">
        <v>204.8</v>
      </c>
      <c r="G13" s="62">
        <v>213.81</v>
      </c>
      <c r="H13" s="61">
        <v>2465</v>
      </c>
      <c r="I13" s="80">
        <v>6.4399999999999999E-2</v>
      </c>
      <c r="J13" s="80">
        <v>0.62490000000000001</v>
      </c>
      <c r="K13" s="58">
        <v>402654572.93000001</v>
      </c>
      <c r="L13" s="59">
        <f t="shared" si="1"/>
        <v>1.3476811342258314E-2</v>
      </c>
      <c r="M13" s="62">
        <v>202</v>
      </c>
      <c r="N13" s="62">
        <v>210.8</v>
      </c>
      <c r="O13" s="61">
        <v>2465</v>
      </c>
      <c r="P13" s="80">
        <v>-1.11E-2</v>
      </c>
      <c r="Q13" s="80">
        <v>0.6069</v>
      </c>
      <c r="R13" s="86">
        <f t="shared" si="2"/>
        <v>-1.1056202380245779E-2</v>
      </c>
      <c r="S13" s="86">
        <f t="shared" si="3"/>
        <v>-1.4077919648285819E-2</v>
      </c>
      <c r="T13" s="86">
        <f t="shared" si="4"/>
        <v>0</v>
      </c>
      <c r="U13" s="87">
        <f t="shared" si="5"/>
        <v>-7.5499999999999998E-2</v>
      </c>
      <c r="V13" s="88">
        <f t="shared" si="6"/>
        <v>-1.8000000000000016E-2</v>
      </c>
    </row>
    <row r="14" spans="1:25">
      <c r="A14" s="187">
        <v>9</v>
      </c>
      <c r="B14" s="160" t="s">
        <v>37</v>
      </c>
      <c r="C14" s="159" t="s">
        <v>38</v>
      </c>
      <c r="D14" s="64">
        <v>55375124.090000004</v>
      </c>
      <c r="E14" s="59">
        <f t="shared" si="0"/>
        <v>1.8668551560755255E-3</v>
      </c>
      <c r="F14" s="62">
        <v>197.23</v>
      </c>
      <c r="G14" s="62">
        <v>203.44</v>
      </c>
      <c r="H14" s="61">
        <v>16</v>
      </c>
      <c r="I14" s="80">
        <v>-3.85E-2</v>
      </c>
      <c r="J14" s="80">
        <v>9.4799999999999995E-2</v>
      </c>
      <c r="K14" s="64">
        <v>56204312.670000002</v>
      </c>
      <c r="L14" s="59">
        <f t="shared" si="1"/>
        <v>1.8811531506102363E-3</v>
      </c>
      <c r="M14" s="62">
        <v>200.17</v>
      </c>
      <c r="N14" s="62">
        <v>206.49</v>
      </c>
      <c r="O14" s="61">
        <v>16</v>
      </c>
      <c r="P14" s="80">
        <v>1.4999999999999999E-2</v>
      </c>
      <c r="Q14" s="80">
        <v>0.11119999999999999</v>
      </c>
      <c r="R14" s="86">
        <f t="shared" si="2"/>
        <v>1.4974026580100042E-2</v>
      </c>
      <c r="S14" s="86">
        <f t="shared" si="3"/>
        <v>1.4992135273299309E-2</v>
      </c>
      <c r="T14" s="86">
        <f t="shared" si="4"/>
        <v>0</v>
      </c>
      <c r="U14" s="87">
        <f t="shared" si="5"/>
        <v>5.3499999999999999E-2</v>
      </c>
      <c r="V14" s="88">
        <f t="shared" si="6"/>
        <v>1.6399999999999998E-2</v>
      </c>
    </row>
    <row r="15" spans="1:25" ht="14.25" customHeight="1">
      <c r="A15" s="187">
        <v>10</v>
      </c>
      <c r="B15" s="160" t="s">
        <v>39</v>
      </c>
      <c r="C15" s="159" t="s">
        <v>40</v>
      </c>
      <c r="D15" s="58">
        <v>584926335.58000004</v>
      </c>
      <c r="E15" s="59">
        <f t="shared" si="0"/>
        <v>1.9719553923294622E-2</v>
      </c>
      <c r="F15" s="62">
        <v>2.0025029999999999</v>
      </c>
      <c r="G15" s="62">
        <v>2.0318309999999999</v>
      </c>
      <c r="H15" s="61">
        <v>464</v>
      </c>
      <c r="I15" s="80">
        <v>5.0289011248778603E-3</v>
      </c>
      <c r="J15" s="80">
        <v>0.18162683660824899</v>
      </c>
      <c r="K15" s="58">
        <v>584326768.34000003</v>
      </c>
      <c r="L15" s="59">
        <f t="shared" si="1"/>
        <v>1.9557362932318353E-2</v>
      </c>
      <c r="M15" s="62">
        <v>2.0012509999999999</v>
      </c>
      <c r="N15" s="62">
        <v>2.0316610000000002</v>
      </c>
      <c r="O15" s="61">
        <v>464</v>
      </c>
      <c r="P15" s="80">
        <v>-6.2521754024835697E-4</v>
      </c>
      <c r="Q15" s="80">
        <v>0.18088806278397401</v>
      </c>
      <c r="R15" s="86">
        <f t="shared" si="2"/>
        <v>-1.0250303389152276E-3</v>
      </c>
      <c r="S15" s="86">
        <f t="shared" si="3"/>
        <v>-8.3668375962263315E-5</v>
      </c>
      <c r="T15" s="86">
        <f t="shared" si="4"/>
        <v>0</v>
      </c>
      <c r="U15" s="87">
        <f t="shared" si="5"/>
        <v>-5.6541186651262176E-3</v>
      </c>
      <c r="V15" s="88">
        <f t="shared" si="6"/>
        <v>-7.3877382427497973E-4</v>
      </c>
    </row>
    <row r="16" spans="1:25" ht="14.25" customHeight="1">
      <c r="A16" s="187">
        <v>11</v>
      </c>
      <c r="B16" s="160" t="s">
        <v>41</v>
      </c>
      <c r="C16" s="159" t="s">
        <v>42</v>
      </c>
      <c r="D16" s="58">
        <v>14585496.029999999</v>
      </c>
      <c r="E16" s="59">
        <f t="shared" si="0"/>
        <v>4.9171914131099519E-4</v>
      </c>
      <c r="F16" s="62">
        <v>12.61</v>
      </c>
      <c r="G16" s="62">
        <v>13.27</v>
      </c>
      <c r="H16" s="61">
        <v>28</v>
      </c>
      <c r="I16" s="80">
        <v>-4.4000000000000003E-3</v>
      </c>
      <c r="J16" s="80">
        <v>-1.06E-2</v>
      </c>
      <c r="K16" s="58">
        <v>14327542.33</v>
      </c>
      <c r="L16" s="59">
        <f t="shared" si="1"/>
        <v>4.7954151762035998E-4</v>
      </c>
      <c r="M16" s="62">
        <v>12.39</v>
      </c>
      <c r="N16" s="62">
        <v>13.06</v>
      </c>
      <c r="O16" s="61">
        <v>28</v>
      </c>
      <c r="P16" s="80">
        <v>2.9999999999999997E-4</v>
      </c>
      <c r="Q16" s="80">
        <v>-1.47E-2</v>
      </c>
      <c r="R16" s="86">
        <f t="shared" ref="R16" si="7">((K16-D16)/D16)</f>
        <v>-1.768563094936438E-2</v>
      </c>
      <c r="S16" s="86">
        <f t="shared" ref="S16" si="8">((N16-G16)/G16)</f>
        <v>-1.5825169555388024E-2</v>
      </c>
      <c r="T16" s="86">
        <f t="shared" ref="T16" si="9">((O16-H16)/H16)</f>
        <v>0</v>
      </c>
      <c r="U16" s="87">
        <f t="shared" ref="U16" si="10">P16-I16</f>
        <v>4.7000000000000002E-3</v>
      </c>
      <c r="V16" s="88">
        <f t="shared" ref="V16" si="11">Q16-J16</f>
        <v>-4.0999999999999995E-3</v>
      </c>
    </row>
    <row r="17" spans="1:22">
      <c r="A17" s="187">
        <v>12</v>
      </c>
      <c r="B17" s="160" t="s">
        <v>43</v>
      </c>
      <c r="C17" s="159" t="s">
        <v>44</v>
      </c>
      <c r="D17" s="58">
        <v>1694430099.48</v>
      </c>
      <c r="E17" s="59">
        <f t="shared" si="0"/>
        <v>5.7124126036857854E-2</v>
      </c>
      <c r="F17" s="62">
        <v>3.45</v>
      </c>
      <c r="G17" s="62">
        <v>3.52</v>
      </c>
      <c r="H17" s="61">
        <v>3662</v>
      </c>
      <c r="I17" s="80">
        <v>-9.7000000000000003E-3</v>
      </c>
      <c r="J17" s="80">
        <v>0.24460000000000001</v>
      </c>
      <c r="K17" s="58">
        <v>1700018451.4100001</v>
      </c>
      <c r="L17" s="59">
        <f t="shared" si="1"/>
        <v>5.6899460451411948E-2</v>
      </c>
      <c r="M17" s="62">
        <v>3.46</v>
      </c>
      <c r="N17" s="62">
        <v>3.53</v>
      </c>
      <c r="O17" s="61">
        <v>3662</v>
      </c>
      <c r="P17" s="80">
        <v>-7.0000000000000001E-3</v>
      </c>
      <c r="Q17" s="80">
        <v>0.24859999999999999</v>
      </c>
      <c r="R17" s="86">
        <f t="shared" si="2"/>
        <v>3.2980716830485154E-3</v>
      </c>
      <c r="S17" s="86">
        <f t="shared" si="3"/>
        <v>2.8409090909090303E-3</v>
      </c>
      <c r="T17" s="86">
        <f t="shared" si="4"/>
        <v>0</v>
      </c>
      <c r="U17" s="87">
        <f t="shared" si="5"/>
        <v>2.7000000000000001E-3</v>
      </c>
      <c r="V17" s="88">
        <f t="shared" si="6"/>
        <v>3.9999999999999758E-3</v>
      </c>
    </row>
    <row r="18" spans="1:22">
      <c r="A18" s="187">
        <v>13</v>
      </c>
      <c r="B18" s="160" t="s">
        <v>45</v>
      </c>
      <c r="C18" s="159" t="s">
        <v>46</v>
      </c>
      <c r="D18" s="62">
        <v>647250056.73000002</v>
      </c>
      <c r="E18" s="59">
        <f t="shared" si="0"/>
        <v>2.1820666328669837E-2</v>
      </c>
      <c r="F18" s="62">
        <v>22.108716999999999</v>
      </c>
      <c r="G18" s="62">
        <v>22.257363000000002</v>
      </c>
      <c r="H18" s="61">
        <v>338</v>
      </c>
      <c r="I18" s="80">
        <v>4.3653587141632101E-3</v>
      </c>
      <c r="J18" s="80">
        <v>0.25866644865273503</v>
      </c>
      <c r="K18" s="62">
        <v>626139266.82000005</v>
      </c>
      <c r="L18" s="59">
        <f t="shared" si="1"/>
        <v>2.0956823392094093E-2</v>
      </c>
      <c r="M18" s="62">
        <v>21.406679</v>
      </c>
      <c r="N18" s="62">
        <v>21.508880999999999</v>
      </c>
      <c r="O18" s="61">
        <v>336</v>
      </c>
      <c r="P18" s="80">
        <v>-3.17539005090164E-2</v>
      </c>
      <c r="Q18" s="80">
        <v>0.22042842460841999</v>
      </c>
      <c r="R18" s="86">
        <f t="shared" si="2"/>
        <v>-3.261612678205808E-2</v>
      </c>
      <c r="S18" s="86">
        <f t="shared" si="3"/>
        <v>-3.3628512056886647E-2</v>
      </c>
      <c r="T18" s="86">
        <f t="shared" si="4"/>
        <v>-5.9171597633136093E-3</v>
      </c>
      <c r="U18" s="87">
        <f t="shared" si="5"/>
        <v>-3.6119259223179608E-2</v>
      </c>
      <c r="V18" s="88">
        <f t="shared" si="6"/>
        <v>-3.8238024044315033E-2</v>
      </c>
    </row>
    <row r="19" spans="1:22">
      <c r="A19" s="187">
        <v>14</v>
      </c>
      <c r="B19" s="160" t="s">
        <v>47</v>
      </c>
      <c r="C19" s="159" t="s">
        <v>48</v>
      </c>
      <c r="D19" s="62">
        <v>122649439.15000001</v>
      </c>
      <c r="E19" s="59">
        <f t="shared" si="0"/>
        <v>4.1348663615599478E-3</v>
      </c>
      <c r="F19" s="62">
        <v>1.325105</v>
      </c>
      <c r="G19" s="62">
        <v>1.372463</v>
      </c>
      <c r="H19" s="61">
        <v>21</v>
      </c>
      <c r="I19" s="80">
        <v>4.5999999999999999E-3</v>
      </c>
      <c r="J19" s="80">
        <v>-0.37859999999999999</v>
      </c>
      <c r="K19" s="62">
        <v>122900062.20999999</v>
      </c>
      <c r="L19" s="59">
        <f t="shared" si="1"/>
        <v>4.1134537236310539E-3</v>
      </c>
      <c r="M19" s="62">
        <v>1.3278129999999999</v>
      </c>
      <c r="N19" s="62">
        <v>1.3757740000000001</v>
      </c>
      <c r="O19" s="61">
        <v>21</v>
      </c>
      <c r="P19" s="80">
        <v>1.9E-3</v>
      </c>
      <c r="Q19" s="80">
        <v>-0.37730000000000002</v>
      </c>
      <c r="R19" s="86">
        <f t="shared" si="2"/>
        <v>2.0434097517027859E-3</v>
      </c>
      <c r="S19" s="86">
        <f t="shared" si="3"/>
        <v>2.4124511917625931E-3</v>
      </c>
      <c r="T19" s="86">
        <f t="shared" si="4"/>
        <v>0</v>
      </c>
      <c r="U19" s="87">
        <f t="shared" si="5"/>
        <v>-2.7000000000000001E-3</v>
      </c>
      <c r="V19" s="88">
        <f t="shared" si="6"/>
        <v>1.2999999999999678E-3</v>
      </c>
    </row>
    <row r="20" spans="1:22">
      <c r="A20" s="187">
        <v>15</v>
      </c>
      <c r="B20" s="160" t="s">
        <v>49</v>
      </c>
      <c r="C20" s="159" t="s">
        <v>50</v>
      </c>
      <c r="D20" s="58">
        <v>1622555847.22</v>
      </c>
      <c r="E20" s="59">
        <f t="shared" si="0"/>
        <v>5.4701037680386165E-2</v>
      </c>
      <c r="F20" s="62">
        <v>28.9</v>
      </c>
      <c r="G20" s="62">
        <v>29.48</v>
      </c>
      <c r="H20" s="61">
        <v>8834</v>
      </c>
      <c r="I20" s="80">
        <v>-7.9000000000000008E-3</v>
      </c>
      <c r="J20" s="80">
        <v>0.14810000000000001</v>
      </c>
      <c r="K20" s="58">
        <v>1652027579.6800001</v>
      </c>
      <c r="L20" s="59">
        <f t="shared" si="1"/>
        <v>5.5293210409969692E-2</v>
      </c>
      <c r="M20" s="62">
        <v>29.44</v>
      </c>
      <c r="N20" s="62">
        <v>30.04</v>
      </c>
      <c r="O20" s="61">
        <v>8834</v>
      </c>
      <c r="P20" s="80">
        <v>1.2999999999999999E-2</v>
      </c>
      <c r="Q20" s="80">
        <v>0.16969999999999999</v>
      </c>
      <c r="R20" s="86">
        <f t="shared" si="2"/>
        <v>1.8163770763573606E-2</v>
      </c>
      <c r="S20" s="86">
        <f t="shared" si="3"/>
        <v>1.8995929443690593E-2</v>
      </c>
      <c r="T20" s="86">
        <f t="shared" si="4"/>
        <v>0</v>
      </c>
      <c r="U20" s="87">
        <f t="shared" si="5"/>
        <v>2.0900000000000002E-2</v>
      </c>
      <c r="V20" s="88">
        <f t="shared" si="6"/>
        <v>2.159999999999998E-2</v>
      </c>
    </row>
    <row r="21" spans="1:22" ht="12.75" customHeight="1">
      <c r="A21" s="187">
        <v>16</v>
      </c>
      <c r="B21" s="160" t="s">
        <v>51</v>
      </c>
      <c r="C21" s="159" t="s">
        <v>52</v>
      </c>
      <c r="D21" s="62">
        <v>680889968.25999999</v>
      </c>
      <c r="E21" s="59">
        <f t="shared" si="0"/>
        <v>2.2954764776695634E-2</v>
      </c>
      <c r="F21" s="62">
        <v>7281.53</v>
      </c>
      <c r="G21" s="62">
        <v>7389.44</v>
      </c>
      <c r="H21" s="61">
        <v>19</v>
      </c>
      <c r="I21" s="80">
        <v>-3.3999999999999998E-3</v>
      </c>
      <c r="J21" s="80">
        <v>0.33900000000000002</v>
      </c>
      <c r="K21" s="62">
        <v>692569963.25</v>
      </c>
      <c r="L21" s="59">
        <f t="shared" si="1"/>
        <v>2.3180252662019663E-2</v>
      </c>
      <c r="M21" s="62">
        <v>7398.05</v>
      </c>
      <c r="N21" s="62">
        <v>7507.64</v>
      </c>
      <c r="O21" s="61">
        <v>19</v>
      </c>
      <c r="P21" s="80">
        <v>2.92E-2</v>
      </c>
      <c r="Q21" s="80">
        <v>0.37809999999999999</v>
      </c>
      <c r="R21" s="86">
        <f t="shared" si="2"/>
        <v>1.7154012446163647E-2</v>
      </c>
      <c r="S21" s="86">
        <f t="shared" si="3"/>
        <v>1.5995799411051545E-2</v>
      </c>
      <c r="T21" s="86">
        <f t="shared" si="4"/>
        <v>0</v>
      </c>
      <c r="U21" s="87">
        <f t="shared" si="5"/>
        <v>3.2599999999999997E-2</v>
      </c>
      <c r="V21" s="88">
        <f t="shared" si="6"/>
        <v>3.9099999999999968E-2</v>
      </c>
    </row>
    <row r="22" spans="1:22">
      <c r="A22" s="187">
        <v>17</v>
      </c>
      <c r="B22" s="160" t="s">
        <v>53</v>
      </c>
      <c r="C22" s="159" t="s">
        <v>52</v>
      </c>
      <c r="D22" s="62">
        <v>12011778527.809999</v>
      </c>
      <c r="E22" s="59">
        <f t="shared" si="0"/>
        <v>0.40495170072817765</v>
      </c>
      <c r="F22" s="62">
        <v>23811.81</v>
      </c>
      <c r="G22" s="62">
        <v>24174.95</v>
      </c>
      <c r="H22" s="61">
        <v>17435</v>
      </c>
      <c r="I22" s="80">
        <v>-3.5000000000000001E-3</v>
      </c>
      <c r="J22" s="80">
        <v>0.30099999999999999</v>
      </c>
      <c r="K22" s="62">
        <v>12184101189.639999</v>
      </c>
      <c r="L22" s="59">
        <f t="shared" si="1"/>
        <v>0.40780074075132733</v>
      </c>
      <c r="M22" s="62">
        <v>24203.9</v>
      </c>
      <c r="N22" s="62">
        <v>24573.39</v>
      </c>
      <c r="O22" s="61">
        <v>17440</v>
      </c>
      <c r="P22" s="80">
        <v>2.86E-2</v>
      </c>
      <c r="Q22" s="80">
        <v>0.3382</v>
      </c>
      <c r="R22" s="86">
        <f t="shared" si="2"/>
        <v>1.4346140451310666E-2</v>
      </c>
      <c r="S22" s="86">
        <f t="shared" si="3"/>
        <v>1.6481523229623998E-2</v>
      </c>
      <c r="T22" s="86">
        <f t="shared" si="4"/>
        <v>2.8677946659019213E-4</v>
      </c>
      <c r="U22" s="87">
        <f t="shared" si="5"/>
        <v>3.2100000000000004E-2</v>
      </c>
      <c r="V22" s="88">
        <f t="shared" si="6"/>
        <v>3.7200000000000011E-2</v>
      </c>
    </row>
    <row r="23" spans="1:22">
      <c r="A23" s="187">
        <v>18</v>
      </c>
      <c r="B23" s="159" t="s">
        <v>54</v>
      </c>
      <c r="C23" s="159" t="s">
        <v>55</v>
      </c>
      <c r="D23" s="62">
        <v>3456524726.4299998</v>
      </c>
      <c r="E23" s="59">
        <f t="shared" si="0"/>
        <v>0.1165294184650628</v>
      </c>
      <c r="F23" s="62">
        <v>1.3958999999999999</v>
      </c>
      <c r="G23" s="60">
        <v>1.4095</v>
      </c>
      <c r="H23" s="61">
        <v>4337</v>
      </c>
      <c r="I23" s="80">
        <v>-7.4000000000000003E-3</v>
      </c>
      <c r="J23" s="80">
        <v>0.24729999999999999</v>
      </c>
      <c r="K23" s="62">
        <v>3510819098.3800001</v>
      </c>
      <c r="L23" s="59">
        <f t="shared" si="1"/>
        <v>0.11750679074962392</v>
      </c>
      <c r="M23" s="62">
        <v>1.4182999999999999</v>
      </c>
      <c r="N23" s="60">
        <v>1.4320999999999999</v>
      </c>
      <c r="O23" s="61">
        <v>4375</v>
      </c>
      <c r="P23" s="80">
        <v>1.6E-2</v>
      </c>
      <c r="Q23" s="80">
        <v>0.26369999999999999</v>
      </c>
      <c r="R23" s="86">
        <f t="shared" si="2"/>
        <v>1.5707792145921405E-2</v>
      </c>
      <c r="S23" s="86">
        <f t="shared" si="3"/>
        <v>1.6034054629301138E-2</v>
      </c>
      <c r="T23" s="86">
        <f t="shared" si="4"/>
        <v>8.7618169241411113E-3</v>
      </c>
      <c r="U23" s="87">
        <f t="shared" si="5"/>
        <v>2.3400000000000001E-2</v>
      </c>
      <c r="V23" s="88">
        <f t="shared" si="6"/>
        <v>1.6399999999999998E-2</v>
      </c>
    </row>
    <row r="24" spans="1:22">
      <c r="A24" s="65"/>
      <c r="B24" s="66"/>
      <c r="C24" s="67" t="s">
        <v>56</v>
      </c>
      <c r="D24" s="68">
        <f>SUM(D6:D23)</f>
        <v>29662249858.959999</v>
      </c>
      <c r="E24" s="69">
        <f>(D24/$D$206)</f>
        <v>7.8971421126638307E-3</v>
      </c>
      <c r="F24" s="70"/>
      <c r="G24" s="71"/>
      <c r="H24" s="72">
        <f>SUM(H6:H23)</f>
        <v>50571</v>
      </c>
      <c r="I24" s="82"/>
      <c r="J24" s="61">
        <v>0</v>
      </c>
      <c r="K24" s="68">
        <f>SUM(K6:K23)</f>
        <v>29877584741.98</v>
      </c>
      <c r="L24" s="69">
        <f>(K24/$K$206)</f>
        <v>7.9007704332537902E-3</v>
      </c>
      <c r="M24" s="70"/>
      <c r="N24" s="71"/>
      <c r="O24" s="72">
        <f>SUM(O6:O23)</f>
        <v>50760</v>
      </c>
      <c r="P24" s="82"/>
      <c r="Q24" s="72"/>
      <c r="R24" s="86">
        <f t="shared" si="2"/>
        <v>7.2595600146276428E-3</v>
      </c>
      <c r="S24" s="86" t="e">
        <f t="shared" si="3"/>
        <v>#DIV/0!</v>
      </c>
      <c r="T24" s="86">
        <f t="shared" si="4"/>
        <v>3.7373198077949813E-3</v>
      </c>
      <c r="U24" s="87">
        <f t="shared" si="5"/>
        <v>0</v>
      </c>
      <c r="V24" s="88">
        <f t="shared" si="6"/>
        <v>0</v>
      </c>
    </row>
    <row r="25" spans="1:22" ht="4.5" customHeight="1">
      <c r="A25" s="65"/>
      <c r="B25" s="172"/>
      <c r="C25" s="172"/>
      <c r="D25" s="172"/>
      <c r="E25" s="172"/>
      <c r="F25" s="172"/>
      <c r="G25" s="172"/>
      <c r="H25" s="172"/>
      <c r="I25" s="172"/>
      <c r="J25" s="172"/>
      <c r="K25" s="172"/>
      <c r="L25" s="172"/>
      <c r="M25" s="172"/>
      <c r="N25" s="172"/>
      <c r="O25" s="172"/>
      <c r="P25" s="172"/>
      <c r="Q25" s="172"/>
      <c r="R25" s="172"/>
      <c r="S25" s="172"/>
      <c r="T25" s="172"/>
      <c r="U25" s="172"/>
      <c r="V25" s="172"/>
    </row>
    <row r="26" spans="1:22" ht="15" customHeight="1">
      <c r="A26" s="176" t="s">
        <v>57</v>
      </c>
      <c r="B26" s="176"/>
      <c r="C26" s="176"/>
      <c r="D26" s="176"/>
      <c r="E26" s="176"/>
      <c r="F26" s="176"/>
      <c r="G26" s="176"/>
      <c r="H26" s="176"/>
      <c r="I26" s="176"/>
      <c r="J26" s="176"/>
      <c r="K26" s="176"/>
      <c r="L26" s="176"/>
      <c r="M26" s="176"/>
      <c r="N26" s="176"/>
      <c r="O26" s="176"/>
      <c r="P26" s="176"/>
      <c r="Q26" s="176"/>
      <c r="R26" s="176"/>
      <c r="S26" s="176"/>
      <c r="T26" s="176"/>
      <c r="U26" s="176"/>
      <c r="V26" s="176"/>
    </row>
    <row r="27" spans="1:22">
      <c r="A27" s="167">
        <v>19</v>
      </c>
      <c r="B27" s="160" t="s">
        <v>58</v>
      </c>
      <c r="C27" s="159" t="s">
        <v>22</v>
      </c>
      <c r="D27" s="74">
        <v>1375760044.0599999</v>
      </c>
      <c r="E27" s="59">
        <f>(D27/$K$63)</f>
        <v>9.0253192122880064E-4</v>
      </c>
      <c r="F27" s="60">
        <v>100</v>
      </c>
      <c r="G27" s="60">
        <v>100</v>
      </c>
      <c r="H27" s="61">
        <v>1071</v>
      </c>
      <c r="I27" s="80">
        <v>0.19270000000000001</v>
      </c>
      <c r="J27" s="80">
        <v>0.19270000000000001</v>
      </c>
      <c r="K27" s="74">
        <v>1500122260.3</v>
      </c>
      <c r="L27" s="59">
        <f t="shared" ref="L27:L62" si="12">(K27/$K$63)</f>
        <v>9.8411654816717652E-4</v>
      </c>
      <c r="M27" s="60">
        <v>100</v>
      </c>
      <c r="N27" s="60">
        <v>100</v>
      </c>
      <c r="O27" s="61">
        <v>876</v>
      </c>
      <c r="P27" s="80">
        <v>0.1991</v>
      </c>
      <c r="Q27" s="80">
        <v>0.1991</v>
      </c>
      <c r="R27" s="86">
        <f>((K27-D27)/D27)</f>
        <v>9.0395281340629116E-2</v>
      </c>
      <c r="S27" s="86">
        <f>((N27-G27)/G27)</f>
        <v>0</v>
      </c>
      <c r="T27" s="86">
        <f>((O27-H27)/H27)</f>
        <v>-0.18207282913165265</v>
      </c>
      <c r="U27" s="87">
        <f>P27-I27</f>
        <v>6.399999999999989E-3</v>
      </c>
      <c r="V27" s="88">
        <f>Q27-J27</f>
        <v>6.399999999999989E-3</v>
      </c>
    </row>
    <row r="28" spans="1:22">
      <c r="A28" s="167">
        <v>20</v>
      </c>
      <c r="B28" s="160" t="s">
        <v>59</v>
      </c>
      <c r="C28" s="159" t="s">
        <v>60</v>
      </c>
      <c r="D28" s="74">
        <v>9150394358.1499996</v>
      </c>
      <c r="E28" s="59">
        <f t="shared" ref="E28:E62" si="13">(D28/$K$63)</f>
        <v>6.0028803974351537E-3</v>
      </c>
      <c r="F28" s="60">
        <v>100</v>
      </c>
      <c r="G28" s="60">
        <v>100</v>
      </c>
      <c r="H28" s="61">
        <v>1766</v>
      </c>
      <c r="I28" s="80">
        <v>0.222049</v>
      </c>
      <c r="J28" s="80">
        <v>0.222049</v>
      </c>
      <c r="K28" s="74">
        <v>9203253690.6000004</v>
      </c>
      <c r="L28" s="59">
        <f t="shared" si="12"/>
        <v>6.0375574002140562E-3</v>
      </c>
      <c r="M28" s="60">
        <v>100</v>
      </c>
      <c r="N28" s="60">
        <v>100</v>
      </c>
      <c r="O28" s="61">
        <v>1789</v>
      </c>
      <c r="P28" s="80">
        <v>0.22551299999999999</v>
      </c>
      <c r="Q28" s="80">
        <v>0.22551299999999999</v>
      </c>
      <c r="R28" s="86">
        <f t="shared" ref="R28:R63" si="14">((K28-D28)/D28)</f>
        <v>5.776727251423917E-3</v>
      </c>
      <c r="S28" s="86">
        <f t="shared" ref="S28:S63" si="15">((N28-G28)/G28)</f>
        <v>0</v>
      </c>
      <c r="T28" s="86">
        <f t="shared" ref="T28:T63" si="16">((O28-H28)/H28)</f>
        <v>1.3023782559456399E-2</v>
      </c>
      <c r="U28" s="87">
        <f t="shared" ref="U28:U63" si="17">P28-I28</f>
        <v>3.4639999999999949E-3</v>
      </c>
      <c r="V28" s="88">
        <f t="shared" ref="V28:V63" si="18">Q28-J28</f>
        <v>3.4639999999999949E-3</v>
      </c>
    </row>
    <row r="29" spans="1:22">
      <c r="A29" s="167">
        <v>21</v>
      </c>
      <c r="B29" s="160" t="s">
        <v>61</v>
      </c>
      <c r="C29" s="159" t="s">
        <v>24</v>
      </c>
      <c r="D29" s="74">
        <v>997699621.94000006</v>
      </c>
      <c r="E29" s="59">
        <f t="shared" si="13"/>
        <v>6.5451512455720466E-4</v>
      </c>
      <c r="F29" s="60">
        <v>100</v>
      </c>
      <c r="G29" s="60">
        <v>100</v>
      </c>
      <c r="H29" s="61">
        <v>1757</v>
      </c>
      <c r="I29" s="80">
        <v>0.20080000000000001</v>
      </c>
      <c r="J29" s="80">
        <v>0.20080000000000001</v>
      </c>
      <c r="K29" s="74">
        <v>1016188953.74</v>
      </c>
      <c r="L29" s="59">
        <f t="shared" si="12"/>
        <v>6.6664457418306035E-4</v>
      </c>
      <c r="M29" s="60">
        <v>100</v>
      </c>
      <c r="N29" s="60">
        <v>100</v>
      </c>
      <c r="O29" s="61">
        <v>1763</v>
      </c>
      <c r="P29" s="80">
        <v>0.2092</v>
      </c>
      <c r="Q29" s="80">
        <v>0.2092</v>
      </c>
      <c r="R29" s="86">
        <f t="shared" si="14"/>
        <v>1.8531962319528542E-2</v>
      </c>
      <c r="S29" s="86">
        <f t="shared" si="15"/>
        <v>0</v>
      </c>
      <c r="T29" s="86">
        <f t="shared" si="16"/>
        <v>3.4149117814456461E-3</v>
      </c>
      <c r="U29" s="87">
        <f t="shared" si="17"/>
        <v>8.3999999999999908E-3</v>
      </c>
      <c r="V29" s="88">
        <f t="shared" si="18"/>
        <v>8.3999999999999908E-3</v>
      </c>
    </row>
    <row r="30" spans="1:22">
      <c r="A30" s="167">
        <v>22</v>
      </c>
      <c r="B30" s="160" t="s">
        <v>62</v>
      </c>
      <c r="C30" s="159" t="s">
        <v>26</v>
      </c>
      <c r="D30" s="74">
        <v>111904917518.32001</v>
      </c>
      <c r="E30" s="59">
        <f t="shared" si="13"/>
        <v>7.341233715779806E-2</v>
      </c>
      <c r="F30" s="60">
        <v>1</v>
      </c>
      <c r="G30" s="60">
        <v>1</v>
      </c>
      <c r="H30" s="61">
        <v>62301</v>
      </c>
      <c r="I30" s="80">
        <v>0.19589999999999999</v>
      </c>
      <c r="J30" s="80">
        <v>0.19589999999999999</v>
      </c>
      <c r="K30" s="74">
        <v>111921212740.07001</v>
      </c>
      <c r="L30" s="59">
        <f t="shared" si="12"/>
        <v>7.3423027218071563E-2</v>
      </c>
      <c r="M30" s="60">
        <v>1</v>
      </c>
      <c r="N30" s="60">
        <v>1</v>
      </c>
      <c r="O30" s="61">
        <v>62620</v>
      </c>
      <c r="P30" s="80">
        <v>0.19919999999999999</v>
      </c>
      <c r="Q30" s="80">
        <v>0.19919999999999999</v>
      </c>
      <c r="R30" s="86">
        <f t="shared" si="14"/>
        <v>1.4561667271978732E-4</v>
      </c>
      <c r="S30" s="86">
        <f t="shared" si="15"/>
        <v>0</v>
      </c>
      <c r="T30" s="86">
        <f t="shared" si="16"/>
        <v>5.1203030448949459E-3</v>
      </c>
      <c r="U30" s="87">
        <f t="shared" si="17"/>
        <v>3.2999999999999974E-3</v>
      </c>
      <c r="V30" s="88">
        <f t="shared" si="18"/>
        <v>3.2999999999999974E-3</v>
      </c>
    </row>
    <row r="31" spans="1:22">
      <c r="A31" s="167">
        <v>23</v>
      </c>
      <c r="B31" s="160" t="s">
        <v>63</v>
      </c>
      <c r="C31" s="159" t="s">
        <v>28</v>
      </c>
      <c r="D31" s="74">
        <v>73537390632.679993</v>
      </c>
      <c r="E31" s="59">
        <f t="shared" si="13"/>
        <v>4.8242309940912158E-2</v>
      </c>
      <c r="F31" s="60">
        <v>1</v>
      </c>
      <c r="G31" s="60">
        <v>1</v>
      </c>
      <c r="H31" s="61">
        <v>29899</v>
      </c>
      <c r="I31" s="80">
        <v>0.20180000000000001</v>
      </c>
      <c r="J31" s="80">
        <v>0.20180000000000001</v>
      </c>
      <c r="K31" s="74">
        <v>75042866473.529999</v>
      </c>
      <c r="L31" s="59">
        <f t="shared" si="12"/>
        <v>4.9229938567628286E-2</v>
      </c>
      <c r="M31" s="60">
        <v>1</v>
      </c>
      <c r="N31" s="60">
        <v>1</v>
      </c>
      <c r="O31" s="61">
        <v>30005</v>
      </c>
      <c r="P31" s="80">
        <v>0.2029</v>
      </c>
      <c r="Q31" s="80">
        <v>0.2029</v>
      </c>
      <c r="R31" s="86">
        <f t="shared" si="14"/>
        <v>2.0472249938400359E-2</v>
      </c>
      <c r="S31" s="86">
        <f t="shared" si="15"/>
        <v>0</v>
      </c>
      <c r="T31" s="86">
        <f t="shared" si="16"/>
        <v>3.5452690725442321E-3</v>
      </c>
      <c r="U31" s="87">
        <f t="shared" si="17"/>
        <v>1.0999999999999899E-3</v>
      </c>
      <c r="V31" s="88">
        <f t="shared" si="18"/>
        <v>1.0999999999999899E-3</v>
      </c>
    </row>
    <row r="32" spans="1:22" ht="15" customHeight="1">
      <c r="A32" s="167">
        <v>24</v>
      </c>
      <c r="B32" s="160" t="s">
        <v>64</v>
      </c>
      <c r="C32" s="159" t="s">
        <v>50</v>
      </c>
      <c r="D32" s="74">
        <v>10744088753</v>
      </c>
      <c r="E32" s="59">
        <f t="shared" si="13"/>
        <v>7.0483825329607673E-3</v>
      </c>
      <c r="F32" s="60">
        <v>100</v>
      </c>
      <c r="G32" s="60">
        <v>100</v>
      </c>
      <c r="H32" s="61">
        <v>2891</v>
      </c>
      <c r="I32" s="80">
        <v>0.22600000000000001</v>
      </c>
      <c r="J32" s="80">
        <v>0.22600000000000001</v>
      </c>
      <c r="K32" s="74">
        <v>9487088753</v>
      </c>
      <c r="L32" s="59">
        <f t="shared" si="12"/>
        <v>6.2237600779891603E-3</v>
      </c>
      <c r="M32" s="60">
        <v>100</v>
      </c>
      <c r="N32" s="60">
        <v>100</v>
      </c>
      <c r="O32" s="61">
        <v>2891</v>
      </c>
      <c r="P32" s="80">
        <v>0.22600000000000001</v>
      </c>
      <c r="Q32" s="80">
        <v>0.22600000000000001</v>
      </c>
      <c r="R32" s="86">
        <f t="shared" si="14"/>
        <v>-0.11699456593273359</v>
      </c>
      <c r="S32" s="86">
        <f t="shared" si="15"/>
        <v>0</v>
      </c>
      <c r="T32" s="86">
        <f t="shared" si="16"/>
        <v>0</v>
      </c>
      <c r="U32" s="87">
        <f t="shared" si="17"/>
        <v>0</v>
      </c>
      <c r="V32" s="88">
        <f t="shared" si="18"/>
        <v>0</v>
      </c>
    </row>
    <row r="33" spans="1:22" ht="15" customHeight="1">
      <c r="A33" s="167">
        <v>25</v>
      </c>
      <c r="B33" s="160" t="s">
        <v>65</v>
      </c>
      <c r="C33" s="159" t="s">
        <v>66</v>
      </c>
      <c r="D33" s="74">
        <v>337378802.31999999</v>
      </c>
      <c r="E33" s="59">
        <f t="shared" si="13"/>
        <v>2.2132866843635533E-4</v>
      </c>
      <c r="F33" s="60">
        <v>1</v>
      </c>
      <c r="G33" s="60">
        <v>1</v>
      </c>
      <c r="H33" s="61">
        <v>221</v>
      </c>
      <c r="I33" s="80">
        <v>0.21</v>
      </c>
      <c r="J33" s="80">
        <v>0.21</v>
      </c>
      <c r="K33" s="74">
        <v>336090636.31999999</v>
      </c>
      <c r="L33" s="59">
        <f t="shared" si="12"/>
        <v>2.2048360033028456E-4</v>
      </c>
      <c r="M33" s="60">
        <v>1</v>
      </c>
      <c r="N33" s="60">
        <v>1</v>
      </c>
      <c r="O33" s="61">
        <v>268</v>
      </c>
      <c r="P33" s="80">
        <v>0.21</v>
      </c>
      <c r="Q33" s="80">
        <v>0.21</v>
      </c>
      <c r="R33" s="86">
        <f t="shared" si="14"/>
        <v>-3.8181592653180061E-3</v>
      </c>
      <c r="S33" s="86">
        <f t="shared" si="15"/>
        <v>0</v>
      </c>
      <c r="T33" s="86">
        <f t="shared" si="16"/>
        <v>0.21266968325791855</v>
      </c>
      <c r="U33" s="87">
        <f t="shared" si="17"/>
        <v>0</v>
      </c>
      <c r="V33" s="88">
        <f t="shared" si="18"/>
        <v>0</v>
      </c>
    </row>
    <row r="34" spans="1:22">
      <c r="A34" s="167">
        <v>26</v>
      </c>
      <c r="B34" s="160" t="s">
        <v>67</v>
      </c>
      <c r="C34" s="159" t="s">
        <v>68</v>
      </c>
      <c r="D34" s="74">
        <v>30715123770.880001</v>
      </c>
      <c r="E34" s="59">
        <f t="shared" si="13"/>
        <v>2.014986536889404E-2</v>
      </c>
      <c r="F34" s="60">
        <v>100</v>
      </c>
      <c r="G34" s="60">
        <v>100</v>
      </c>
      <c r="H34" s="61">
        <v>3080</v>
      </c>
      <c r="I34" s="80">
        <v>0.227157796372326</v>
      </c>
      <c r="J34" s="80">
        <v>0.227157796372326</v>
      </c>
      <c r="K34" s="74">
        <v>29725323663.610001</v>
      </c>
      <c r="L34" s="59">
        <f t="shared" si="12"/>
        <v>1.9500532517352155E-2</v>
      </c>
      <c r="M34" s="60">
        <v>100</v>
      </c>
      <c r="N34" s="60">
        <v>100</v>
      </c>
      <c r="O34" s="61">
        <v>3126</v>
      </c>
      <c r="P34" s="80">
        <v>0.22519161996443601</v>
      </c>
      <c r="Q34" s="80">
        <v>0.22519161996443601</v>
      </c>
      <c r="R34" s="86">
        <f t="shared" si="14"/>
        <v>-3.2225170722196383E-2</v>
      </c>
      <c r="S34" s="86">
        <f t="shared" si="15"/>
        <v>0</v>
      </c>
      <c r="T34" s="86">
        <f t="shared" si="16"/>
        <v>1.4935064935064935E-2</v>
      </c>
      <c r="U34" s="87">
        <f t="shared" si="17"/>
        <v>-1.9661764078899857E-3</v>
      </c>
      <c r="V34" s="88">
        <f t="shared" si="18"/>
        <v>-1.9661764078899857E-3</v>
      </c>
    </row>
    <row r="35" spans="1:22">
      <c r="A35" s="167">
        <v>27</v>
      </c>
      <c r="B35" s="160" t="s">
        <v>69</v>
      </c>
      <c r="C35" s="159" t="s">
        <v>70</v>
      </c>
      <c r="D35" s="74">
        <v>13377253159.799999</v>
      </c>
      <c r="E35" s="59">
        <f t="shared" si="13"/>
        <v>8.7758021809156341E-3</v>
      </c>
      <c r="F35" s="60">
        <v>100</v>
      </c>
      <c r="G35" s="60">
        <v>100</v>
      </c>
      <c r="H35" s="61">
        <v>6378</v>
      </c>
      <c r="I35" s="80">
        <v>0.21429999999999999</v>
      </c>
      <c r="J35" s="80">
        <v>0.21429999999999999</v>
      </c>
      <c r="K35" s="74">
        <v>13145010468.280001</v>
      </c>
      <c r="L35" s="59">
        <f t="shared" si="12"/>
        <v>8.623445348433189E-3</v>
      </c>
      <c r="M35" s="60">
        <v>100</v>
      </c>
      <c r="N35" s="60">
        <v>100</v>
      </c>
      <c r="O35" s="61">
        <v>6391</v>
      </c>
      <c r="P35" s="80">
        <v>0.22189999999999999</v>
      </c>
      <c r="Q35" s="80">
        <v>0.22189999999999999</v>
      </c>
      <c r="R35" s="86">
        <f t="shared" si="14"/>
        <v>-1.7361014906850335E-2</v>
      </c>
      <c r="S35" s="86">
        <f t="shared" si="15"/>
        <v>0</v>
      </c>
      <c r="T35" s="86">
        <f t="shared" si="16"/>
        <v>2.0382565067419253E-3</v>
      </c>
      <c r="U35" s="87">
        <f t="shared" si="17"/>
        <v>7.5999999999999956E-3</v>
      </c>
      <c r="V35" s="88">
        <f t="shared" si="18"/>
        <v>7.5999999999999956E-3</v>
      </c>
    </row>
    <row r="36" spans="1:22">
      <c r="A36" s="167">
        <v>28</v>
      </c>
      <c r="B36" s="160" t="s">
        <v>71</v>
      </c>
      <c r="C36" s="159" t="s">
        <v>72</v>
      </c>
      <c r="D36" s="74">
        <v>44514190.369999997</v>
      </c>
      <c r="E36" s="59">
        <f t="shared" si="13"/>
        <v>2.9202387385825643E-5</v>
      </c>
      <c r="F36" s="60">
        <v>100</v>
      </c>
      <c r="G36" s="60">
        <v>100</v>
      </c>
      <c r="H36" s="61">
        <v>0</v>
      </c>
      <c r="I36" s="80">
        <v>0</v>
      </c>
      <c r="J36" s="80">
        <v>0</v>
      </c>
      <c r="K36" s="74">
        <v>44514190.369999997</v>
      </c>
      <c r="L36" s="59">
        <f t="shared" si="12"/>
        <v>2.9202387385825643E-5</v>
      </c>
      <c r="M36" s="60">
        <v>100</v>
      </c>
      <c r="N36" s="60">
        <v>100</v>
      </c>
      <c r="O36" s="61">
        <v>0</v>
      </c>
      <c r="P36" s="80">
        <v>0</v>
      </c>
      <c r="Q36" s="80">
        <v>0</v>
      </c>
      <c r="R36" s="86">
        <f t="shared" si="14"/>
        <v>0</v>
      </c>
      <c r="S36" s="86">
        <f t="shared" si="15"/>
        <v>0</v>
      </c>
      <c r="T36" s="86" t="e">
        <f t="shared" si="16"/>
        <v>#DIV/0!</v>
      </c>
      <c r="U36" s="87">
        <f t="shared" si="17"/>
        <v>0</v>
      </c>
      <c r="V36" s="88">
        <f t="shared" si="18"/>
        <v>0</v>
      </c>
    </row>
    <row r="37" spans="1:22">
      <c r="A37" s="167">
        <v>29</v>
      </c>
      <c r="B37" s="160" t="s">
        <v>73</v>
      </c>
      <c r="C37" s="159" t="s">
        <v>74</v>
      </c>
      <c r="D37" s="74">
        <v>8574729951.2200003</v>
      </c>
      <c r="E37" s="59">
        <f t="shared" si="13"/>
        <v>5.6252305991198077E-3</v>
      </c>
      <c r="F37" s="60">
        <v>1</v>
      </c>
      <c r="G37" s="60">
        <v>1</v>
      </c>
      <c r="H37" s="61">
        <v>3025</v>
      </c>
      <c r="I37" s="80">
        <v>0.20760000000000001</v>
      </c>
      <c r="J37" s="80">
        <v>0.20760000000000001</v>
      </c>
      <c r="K37" s="74">
        <v>8378340362.4099998</v>
      </c>
      <c r="L37" s="59">
        <f t="shared" si="12"/>
        <v>5.4963942706748063E-3</v>
      </c>
      <c r="M37" s="60">
        <v>1</v>
      </c>
      <c r="N37" s="60">
        <v>1</v>
      </c>
      <c r="O37" s="61">
        <v>3083</v>
      </c>
      <c r="P37" s="80">
        <v>0.21460000000000001</v>
      </c>
      <c r="Q37" s="80">
        <v>0.21460000000000001</v>
      </c>
      <c r="R37" s="86">
        <f t="shared" si="14"/>
        <v>-2.2903297238189804E-2</v>
      </c>
      <c r="S37" s="86">
        <f t="shared" si="15"/>
        <v>0</v>
      </c>
      <c r="T37" s="86">
        <f t="shared" si="16"/>
        <v>1.9173553719008266E-2</v>
      </c>
      <c r="U37" s="87">
        <f t="shared" si="17"/>
        <v>7.0000000000000062E-3</v>
      </c>
      <c r="V37" s="88">
        <f t="shared" si="18"/>
        <v>7.0000000000000062E-3</v>
      </c>
    </row>
    <row r="38" spans="1:22">
      <c r="A38" s="167">
        <v>30</v>
      </c>
      <c r="B38" s="160" t="s">
        <v>75</v>
      </c>
      <c r="C38" s="159" t="s">
        <v>76</v>
      </c>
      <c r="D38" s="74">
        <v>20042086477.139999</v>
      </c>
      <c r="E38" s="59">
        <f t="shared" si="13"/>
        <v>1.3148094314663817E-2</v>
      </c>
      <c r="F38" s="75">
        <v>100</v>
      </c>
      <c r="G38" s="75">
        <v>100</v>
      </c>
      <c r="H38" s="61">
        <v>3003</v>
      </c>
      <c r="I38" s="80">
        <v>0.19650000000000001</v>
      </c>
      <c r="J38" s="80">
        <v>0.19650000000000001</v>
      </c>
      <c r="K38" s="74">
        <v>22343142035.82</v>
      </c>
      <c r="L38" s="59">
        <f t="shared" si="12"/>
        <v>1.4657642511819556E-2</v>
      </c>
      <c r="M38" s="75">
        <v>100</v>
      </c>
      <c r="N38" s="75">
        <v>100</v>
      </c>
      <c r="O38" s="61">
        <v>3003</v>
      </c>
      <c r="P38" s="80">
        <v>0.2034</v>
      </c>
      <c r="Q38" s="80">
        <v>0.2034</v>
      </c>
      <c r="R38" s="86">
        <f t="shared" si="14"/>
        <v>0.11481117803301487</v>
      </c>
      <c r="S38" s="86">
        <f t="shared" si="15"/>
        <v>0</v>
      </c>
      <c r="T38" s="86">
        <f t="shared" si="16"/>
        <v>0</v>
      </c>
      <c r="U38" s="87">
        <f t="shared" si="17"/>
        <v>6.8999999999999895E-3</v>
      </c>
      <c r="V38" s="88">
        <f t="shared" si="18"/>
        <v>6.8999999999999895E-3</v>
      </c>
    </row>
    <row r="39" spans="1:22">
      <c r="A39" s="167">
        <v>31</v>
      </c>
      <c r="B39" s="160" t="s">
        <v>77</v>
      </c>
      <c r="C39" s="159" t="s">
        <v>76</v>
      </c>
      <c r="D39" s="74">
        <v>696162877.88</v>
      </c>
      <c r="E39" s="59">
        <f t="shared" si="13"/>
        <v>4.5669971473150686E-4</v>
      </c>
      <c r="F39" s="75">
        <v>1000000</v>
      </c>
      <c r="G39" s="75">
        <v>1000000</v>
      </c>
      <c r="H39" s="61">
        <v>4</v>
      </c>
      <c r="I39" s="80">
        <v>0.20669999999999999</v>
      </c>
      <c r="J39" s="80">
        <v>0.20669999999999999</v>
      </c>
      <c r="K39" s="74">
        <v>696329401.89999998</v>
      </c>
      <c r="L39" s="59">
        <f t="shared" si="12"/>
        <v>4.568089585232206E-4</v>
      </c>
      <c r="M39" s="75">
        <v>1000000</v>
      </c>
      <c r="N39" s="75">
        <v>1000000</v>
      </c>
      <c r="O39" s="61">
        <v>4</v>
      </c>
      <c r="P39" s="80">
        <v>0.22120000000000001</v>
      </c>
      <c r="Q39" s="80">
        <v>0.22120000000000001</v>
      </c>
      <c r="R39" s="86">
        <f t="shared" si="14"/>
        <v>2.3920267122988601E-4</v>
      </c>
      <c r="S39" s="86">
        <f t="shared" si="15"/>
        <v>0</v>
      </c>
      <c r="T39" s="86">
        <f t="shared" si="16"/>
        <v>0</v>
      </c>
      <c r="U39" s="87">
        <f t="shared" si="17"/>
        <v>1.4500000000000013E-2</v>
      </c>
      <c r="V39" s="88">
        <f t="shared" si="18"/>
        <v>1.4500000000000013E-2</v>
      </c>
    </row>
    <row r="40" spans="1:22">
      <c r="A40" s="167">
        <v>32</v>
      </c>
      <c r="B40" s="160" t="s">
        <v>78</v>
      </c>
      <c r="C40" s="159" t="s">
        <v>79</v>
      </c>
      <c r="D40" s="74">
        <v>3765265506.9400001</v>
      </c>
      <c r="E40" s="59">
        <f t="shared" si="13"/>
        <v>2.4701053985304476E-3</v>
      </c>
      <c r="F40" s="60">
        <v>1</v>
      </c>
      <c r="G40" s="60">
        <v>1</v>
      </c>
      <c r="H40" s="61">
        <v>647</v>
      </c>
      <c r="I40" s="80">
        <v>0.216</v>
      </c>
      <c r="J40" s="80">
        <v>0.216</v>
      </c>
      <c r="K40" s="74">
        <v>3684286645.1300001</v>
      </c>
      <c r="L40" s="59">
        <f t="shared" si="12"/>
        <v>2.4169813032030264E-3</v>
      </c>
      <c r="M40" s="60">
        <v>1</v>
      </c>
      <c r="N40" s="60">
        <v>1</v>
      </c>
      <c r="O40" s="61">
        <v>658</v>
      </c>
      <c r="P40" s="80">
        <v>0.21210000000000001</v>
      </c>
      <c r="Q40" s="80">
        <v>0.21210000000000001</v>
      </c>
      <c r="R40" s="86">
        <f t="shared" si="14"/>
        <v>-2.1506813174460782E-2</v>
      </c>
      <c r="S40" s="86">
        <f t="shared" si="15"/>
        <v>0</v>
      </c>
      <c r="T40" s="86">
        <f t="shared" si="16"/>
        <v>1.7001545595054096E-2</v>
      </c>
      <c r="U40" s="87">
        <f t="shared" si="17"/>
        <v>-3.8999999999999868E-3</v>
      </c>
      <c r="V40" s="88">
        <f t="shared" si="18"/>
        <v>-3.8999999999999868E-3</v>
      </c>
    </row>
    <row r="41" spans="1:22">
      <c r="A41" s="167">
        <v>33</v>
      </c>
      <c r="B41" s="160" t="s">
        <v>80</v>
      </c>
      <c r="C41" s="159" t="s">
        <v>34</v>
      </c>
      <c r="D41" s="74">
        <v>333944477253.12</v>
      </c>
      <c r="E41" s="59">
        <f t="shared" si="13"/>
        <v>0.21907566798462813</v>
      </c>
      <c r="F41" s="60">
        <v>100</v>
      </c>
      <c r="G41" s="60">
        <v>100</v>
      </c>
      <c r="H41" s="61">
        <v>15315</v>
      </c>
      <c r="I41" s="80">
        <v>0.21740000000000001</v>
      </c>
      <c r="J41" s="80">
        <v>0.21740000000000001</v>
      </c>
      <c r="K41" s="74">
        <v>336639822057.01001</v>
      </c>
      <c r="L41" s="59">
        <f t="shared" si="12"/>
        <v>0.22084387947959927</v>
      </c>
      <c r="M41" s="60">
        <v>100</v>
      </c>
      <c r="N41" s="60">
        <v>100</v>
      </c>
      <c r="O41" s="61">
        <v>15468</v>
      </c>
      <c r="P41" s="80">
        <v>0.21809999999999999</v>
      </c>
      <c r="Q41" s="80">
        <v>0.21809999999999999</v>
      </c>
      <c r="R41" s="86">
        <f t="shared" si="14"/>
        <v>8.0712363506075385E-3</v>
      </c>
      <c r="S41" s="86">
        <f t="shared" si="15"/>
        <v>0</v>
      </c>
      <c r="T41" s="86">
        <f t="shared" si="16"/>
        <v>9.9902056807051904E-3</v>
      </c>
      <c r="U41" s="87">
        <f t="shared" si="17"/>
        <v>6.9999999999997842E-4</v>
      </c>
      <c r="V41" s="88">
        <f t="shared" si="18"/>
        <v>6.9999999999997842E-4</v>
      </c>
    </row>
    <row r="42" spans="1:22">
      <c r="A42" s="167">
        <v>34</v>
      </c>
      <c r="B42" s="160" t="s">
        <v>81</v>
      </c>
      <c r="C42" s="159" t="s">
        <v>82</v>
      </c>
      <c r="D42" s="74">
        <v>508690527.69</v>
      </c>
      <c r="E42" s="59">
        <f t="shared" si="13"/>
        <v>3.3371331087074757E-4</v>
      </c>
      <c r="F42" s="60">
        <v>1</v>
      </c>
      <c r="G42" s="60">
        <v>1</v>
      </c>
      <c r="H42" s="76">
        <v>732</v>
      </c>
      <c r="I42" s="83">
        <v>0.21990000000000001</v>
      </c>
      <c r="J42" s="83">
        <v>0.21990000000000001</v>
      </c>
      <c r="K42" s="74">
        <v>495282616.02999997</v>
      </c>
      <c r="L42" s="59">
        <f t="shared" si="12"/>
        <v>3.2491739597089738E-4</v>
      </c>
      <c r="M42" s="60">
        <v>1</v>
      </c>
      <c r="N42" s="60">
        <v>1</v>
      </c>
      <c r="O42" s="76">
        <v>733</v>
      </c>
      <c r="P42" s="83">
        <v>0.23719999999999999</v>
      </c>
      <c r="Q42" s="83">
        <v>0.23719999999999999</v>
      </c>
      <c r="R42" s="86">
        <f t="shared" si="14"/>
        <v>-2.6357698699219563E-2</v>
      </c>
      <c r="S42" s="86">
        <f t="shared" si="15"/>
        <v>0</v>
      </c>
      <c r="T42" s="86">
        <f t="shared" si="16"/>
        <v>1.366120218579235E-3</v>
      </c>
      <c r="U42" s="87">
        <f t="shared" si="17"/>
        <v>1.7299999999999982E-2</v>
      </c>
      <c r="V42" s="88">
        <f t="shared" si="18"/>
        <v>1.7299999999999982E-2</v>
      </c>
    </row>
    <row r="43" spans="1:22">
      <c r="A43" s="167">
        <v>35</v>
      </c>
      <c r="B43" s="160" t="s">
        <v>83</v>
      </c>
      <c r="C43" s="159" t="s">
        <v>84</v>
      </c>
      <c r="D43" s="74">
        <v>760379534.19000006</v>
      </c>
      <c r="E43" s="59">
        <f t="shared" si="13"/>
        <v>4.9882739713120463E-4</v>
      </c>
      <c r="F43" s="60">
        <v>10</v>
      </c>
      <c r="G43" s="60">
        <v>10</v>
      </c>
      <c r="H43" s="61">
        <v>390</v>
      </c>
      <c r="I43" s="80">
        <v>0.1706</v>
      </c>
      <c r="J43" s="80">
        <v>0.1706</v>
      </c>
      <c r="K43" s="74">
        <v>733227523.84000003</v>
      </c>
      <c r="L43" s="59">
        <f t="shared" si="12"/>
        <v>4.8101502049458455E-4</v>
      </c>
      <c r="M43" s="60">
        <v>10</v>
      </c>
      <c r="N43" s="60">
        <v>10</v>
      </c>
      <c r="O43" s="61">
        <v>393</v>
      </c>
      <c r="P43" s="80">
        <v>0.1726</v>
      </c>
      <c r="Q43" s="80">
        <v>0.1726</v>
      </c>
      <c r="R43" s="86">
        <f t="shared" si="14"/>
        <v>-3.5708497045391821E-2</v>
      </c>
      <c r="S43" s="86">
        <f t="shared" si="15"/>
        <v>0</v>
      </c>
      <c r="T43" s="86">
        <f t="shared" si="16"/>
        <v>7.6923076923076927E-3</v>
      </c>
      <c r="U43" s="87">
        <f t="shared" si="17"/>
        <v>2.0000000000000018E-3</v>
      </c>
      <c r="V43" s="88">
        <f t="shared" si="18"/>
        <v>2.0000000000000018E-3</v>
      </c>
    </row>
    <row r="44" spans="1:22">
      <c r="A44" s="167">
        <v>36</v>
      </c>
      <c r="B44" s="160" t="s">
        <v>85</v>
      </c>
      <c r="C44" s="159" t="s">
        <v>86</v>
      </c>
      <c r="D44" s="74">
        <v>4473837042.5699997</v>
      </c>
      <c r="E44" s="59">
        <f t="shared" si="13"/>
        <v>2.9349454933866219E-3</v>
      </c>
      <c r="F44" s="60">
        <v>100</v>
      </c>
      <c r="G44" s="60">
        <v>100</v>
      </c>
      <c r="H44" s="61">
        <v>682</v>
      </c>
      <c r="I44" s="80">
        <v>0.1893</v>
      </c>
      <c r="J44" s="80">
        <v>0.1893</v>
      </c>
      <c r="K44" s="74">
        <v>4555388277.0900002</v>
      </c>
      <c r="L44" s="59">
        <f t="shared" si="12"/>
        <v>2.9884450790794207E-3</v>
      </c>
      <c r="M44" s="60">
        <v>100</v>
      </c>
      <c r="N44" s="60">
        <v>100</v>
      </c>
      <c r="O44" s="61">
        <v>682</v>
      </c>
      <c r="P44" s="80">
        <v>0.1426</v>
      </c>
      <c r="Q44" s="80">
        <v>1.23913043478261</v>
      </c>
      <c r="R44" s="86">
        <f t="shared" si="14"/>
        <v>1.82284767513913E-2</v>
      </c>
      <c r="S44" s="86">
        <f t="shared" si="15"/>
        <v>0</v>
      </c>
      <c r="T44" s="86">
        <f t="shared" si="16"/>
        <v>0</v>
      </c>
      <c r="U44" s="87">
        <f t="shared" si="17"/>
        <v>-4.6699999999999992E-2</v>
      </c>
      <c r="V44" s="88">
        <f t="shared" si="18"/>
        <v>1.04983043478261</v>
      </c>
    </row>
    <row r="45" spans="1:22">
      <c r="A45" s="167">
        <v>37</v>
      </c>
      <c r="B45" s="160" t="s">
        <v>87</v>
      </c>
      <c r="C45" s="160" t="s">
        <v>88</v>
      </c>
      <c r="D45" s="62">
        <v>60553110.909999996</v>
      </c>
      <c r="E45" s="59">
        <f t="shared" ref="E45" si="19">(D45/$D$176)</f>
        <v>1.1474191974288406E-3</v>
      </c>
      <c r="F45" s="62">
        <v>1</v>
      </c>
      <c r="G45" s="62">
        <v>1</v>
      </c>
      <c r="H45" s="61">
        <v>37</v>
      </c>
      <c r="I45" s="80">
        <v>0.17319999999999999</v>
      </c>
      <c r="J45" s="80">
        <v>0.17319999999999999</v>
      </c>
      <c r="K45" s="62">
        <v>61342362.049999997</v>
      </c>
      <c r="L45" s="84">
        <f t="shared" ref="L45" si="20">(K45/$K$176)</f>
        <v>1.1585908499562537E-3</v>
      </c>
      <c r="M45" s="62">
        <v>1</v>
      </c>
      <c r="N45" s="62">
        <v>1</v>
      </c>
      <c r="O45" s="61">
        <v>40</v>
      </c>
      <c r="P45" s="80">
        <v>0.18190000000000001</v>
      </c>
      <c r="Q45" s="80">
        <v>0.18190000000000001</v>
      </c>
      <c r="R45" s="87">
        <f t="shared" si="14"/>
        <v>1.3034031251888338E-2</v>
      </c>
      <c r="S45" s="87">
        <f t="shared" si="15"/>
        <v>0</v>
      </c>
      <c r="T45" s="87">
        <f t="shared" si="16"/>
        <v>8.1081081081081086E-2</v>
      </c>
      <c r="U45" s="87">
        <f t="shared" si="17"/>
        <v>8.7000000000000133E-3</v>
      </c>
      <c r="V45" s="88">
        <f t="shared" si="18"/>
        <v>8.7000000000000133E-3</v>
      </c>
    </row>
    <row r="46" spans="1:22">
      <c r="A46" s="167">
        <v>38</v>
      </c>
      <c r="B46" s="160" t="s">
        <v>89</v>
      </c>
      <c r="C46" s="159" t="s">
        <v>40</v>
      </c>
      <c r="D46" s="74">
        <v>37986309838.440002</v>
      </c>
      <c r="E46" s="59">
        <f t="shared" si="13"/>
        <v>2.4919939597682159E-2</v>
      </c>
      <c r="F46" s="60">
        <v>100</v>
      </c>
      <c r="G46" s="60">
        <v>100</v>
      </c>
      <c r="H46" s="61">
        <v>12618</v>
      </c>
      <c r="I46" s="80">
        <v>0.20660000000000001</v>
      </c>
      <c r="J46" s="80">
        <v>0.20660000000000001</v>
      </c>
      <c r="K46" s="74">
        <v>37187554489.839996</v>
      </c>
      <c r="L46" s="59">
        <f t="shared" si="12"/>
        <v>2.4395936736517292E-2</v>
      </c>
      <c r="M46" s="60">
        <v>100</v>
      </c>
      <c r="N46" s="60">
        <v>100</v>
      </c>
      <c r="O46" s="61">
        <v>12667</v>
      </c>
      <c r="P46" s="80">
        <v>0.19550000000000001</v>
      </c>
      <c r="Q46" s="80">
        <v>0.17113439999999999</v>
      </c>
      <c r="R46" s="86">
        <f t="shared" si="14"/>
        <v>-2.1027453100793455E-2</v>
      </c>
      <c r="S46" s="86">
        <f t="shared" si="15"/>
        <v>0</v>
      </c>
      <c r="T46" s="86">
        <f t="shared" si="16"/>
        <v>3.8833412585195753E-3</v>
      </c>
      <c r="U46" s="87">
        <f t="shared" si="17"/>
        <v>-1.1099999999999999E-2</v>
      </c>
      <c r="V46" s="88">
        <f t="shared" si="18"/>
        <v>-3.5465600000000014E-2</v>
      </c>
    </row>
    <row r="47" spans="1:22">
      <c r="A47" s="167">
        <v>39</v>
      </c>
      <c r="B47" s="160" t="s">
        <v>90</v>
      </c>
      <c r="C47" s="159" t="s">
        <v>44</v>
      </c>
      <c r="D47" s="74">
        <v>6616341342.5699997</v>
      </c>
      <c r="E47" s="59">
        <f t="shared" si="13"/>
        <v>4.3404802234210081E-3</v>
      </c>
      <c r="F47" s="60">
        <v>1</v>
      </c>
      <c r="G47" s="60">
        <v>1</v>
      </c>
      <c r="H47" s="61">
        <v>1105</v>
      </c>
      <c r="I47" s="80">
        <v>0.20880000000000001</v>
      </c>
      <c r="J47" s="80">
        <v>0.20880000000000001</v>
      </c>
      <c r="K47" s="74">
        <v>6650605845.6899996</v>
      </c>
      <c r="L47" s="59">
        <f t="shared" si="12"/>
        <v>4.3629585676383479E-3</v>
      </c>
      <c r="M47" s="60">
        <v>1</v>
      </c>
      <c r="N47" s="60">
        <v>1</v>
      </c>
      <c r="O47" s="61">
        <v>1108</v>
      </c>
      <c r="P47" s="80">
        <v>0.2094</v>
      </c>
      <c r="Q47" s="80">
        <v>0.2094</v>
      </c>
      <c r="R47" s="86">
        <f t="shared" si="14"/>
        <v>5.1787689518888172E-3</v>
      </c>
      <c r="S47" s="86">
        <f t="shared" si="15"/>
        <v>0</v>
      </c>
      <c r="T47" s="86">
        <f t="shared" si="16"/>
        <v>2.7149321266968325E-3</v>
      </c>
      <c r="U47" s="87">
        <f t="shared" si="17"/>
        <v>5.9999999999998943E-4</v>
      </c>
      <c r="V47" s="88">
        <f t="shared" si="18"/>
        <v>5.9999999999998943E-4</v>
      </c>
    </row>
    <row r="48" spans="1:22">
      <c r="A48" s="167">
        <v>40</v>
      </c>
      <c r="B48" s="160" t="s">
        <v>91</v>
      </c>
      <c r="C48" s="159" t="s">
        <v>46</v>
      </c>
      <c r="D48" s="77">
        <v>14819528461.09</v>
      </c>
      <c r="E48" s="59">
        <f t="shared" si="13"/>
        <v>9.7219697224388436E-3</v>
      </c>
      <c r="F48" s="60">
        <v>10</v>
      </c>
      <c r="G48" s="60">
        <v>10</v>
      </c>
      <c r="H48" s="61">
        <v>2880</v>
      </c>
      <c r="I48" s="80">
        <v>0.2346</v>
      </c>
      <c r="J48" s="80">
        <v>0.2346</v>
      </c>
      <c r="K48" s="77">
        <v>14198762564.07</v>
      </c>
      <c r="L48" s="59">
        <f t="shared" si="12"/>
        <v>9.3147322538920784E-3</v>
      </c>
      <c r="M48" s="60">
        <v>10</v>
      </c>
      <c r="N48" s="60">
        <v>10</v>
      </c>
      <c r="O48" s="61">
        <v>2906</v>
      </c>
      <c r="P48" s="80">
        <v>0.2228</v>
      </c>
      <c r="Q48" s="80">
        <v>0.23930000000000001</v>
      </c>
      <c r="R48" s="86">
        <f t="shared" si="14"/>
        <v>-4.1888370378981826E-2</v>
      </c>
      <c r="S48" s="86">
        <f t="shared" si="15"/>
        <v>0</v>
      </c>
      <c r="T48" s="86">
        <f t="shared" si="16"/>
        <v>9.0277777777777769E-3</v>
      </c>
      <c r="U48" s="87">
        <f t="shared" si="17"/>
        <v>-1.1800000000000005E-2</v>
      </c>
      <c r="V48" s="88">
        <f t="shared" si="18"/>
        <v>4.7000000000000097E-3</v>
      </c>
    </row>
    <row r="49" spans="1:22">
      <c r="A49" s="167">
        <v>41</v>
      </c>
      <c r="B49" s="160" t="s">
        <v>92</v>
      </c>
      <c r="C49" s="159" t="s">
        <v>93</v>
      </c>
      <c r="D49" s="74">
        <v>10259205011.809999</v>
      </c>
      <c r="E49" s="59">
        <f t="shared" si="13"/>
        <v>6.7302870508319564E-3</v>
      </c>
      <c r="F49" s="60">
        <v>100</v>
      </c>
      <c r="G49" s="60">
        <v>100</v>
      </c>
      <c r="H49" s="61">
        <v>2972</v>
      </c>
      <c r="I49" s="80">
        <v>0.21829999999999999</v>
      </c>
      <c r="J49" s="80">
        <v>0.21829999999999999</v>
      </c>
      <c r="K49" s="74">
        <v>10581834112</v>
      </c>
      <c r="L49" s="59">
        <f t="shared" si="12"/>
        <v>6.941939557310841E-3</v>
      </c>
      <c r="M49" s="60">
        <v>100</v>
      </c>
      <c r="N49" s="60">
        <v>100</v>
      </c>
      <c r="O49" s="61">
        <v>3002</v>
      </c>
      <c r="P49" s="80">
        <v>0</v>
      </c>
      <c r="Q49" s="80">
        <v>14.86</v>
      </c>
      <c r="R49" s="86">
        <f t="shared" si="14"/>
        <v>3.144776810860124E-2</v>
      </c>
      <c r="S49" s="86">
        <f t="shared" si="15"/>
        <v>0</v>
      </c>
      <c r="T49" s="86">
        <f t="shared" si="16"/>
        <v>1.0094212651413189E-2</v>
      </c>
      <c r="U49" s="87">
        <f t="shared" si="17"/>
        <v>-0.21829999999999999</v>
      </c>
      <c r="V49" s="88">
        <f t="shared" si="18"/>
        <v>14.6417</v>
      </c>
    </row>
    <row r="50" spans="1:22">
      <c r="A50" s="167">
        <v>42</v>
      </c>
      <c r="B50" s="160" t="s">
        <v>94</v>
      </c>
      <c r="C50" s="159" t="s">
        <v>95</v>
      </c>
      <c r="D50" s="74">
        <v>188701561.28999999</v>
      </c>
      <c r="E50" s="59">
        <f t="shared" si="13"/>
        <v>1.2379279612405317E-4</v>
      </c>
      <c r="F50" s="60">
        <v>1</v>
      </c>
      <c r="G50" s="60">
        <v>1</v>
      </c>
      <c r="H50" s="61">
        <v>83</v>
      </c>
      <c r="I50" s="80">
        <v>0.1668</v>
      </c>
      <c r="J50" s="80">
        <v>0.1668</v>
      </c>
      <c r="K50" s="74">
        <v>186817883.22999999</v>
      </c>
      <c r="L50" s="59">
        <f t="shared" si="12"/>
        <v>1.2255705767837827E-4</v>
      </c>
      <c r="M50" s="60">
        <v>1</v>
      </c>
      <c r="N50" s="60">
        <v>1</v>
      </c>
      <c r="O50" s="61">
        <v>83</v>
      </c>
      <c r="P50" s="80">
        <v>0.1686</v>
      </c>
      <c r="Q50" s="80">
        <v>0.1686</v>
      </c>
      <c r="R50" s="86">
        <f t="shared" si="14"/>
        <v>-9.9823130615497753E-3</v>
      </c>
      <c r="S50" s="86">
        <f t="shared" si="15"/>
        <v>0</v>
      </c>
      <c r="T50" s="86">
        <f t="shared" si="16"/>
        <v>0</v>
      </c>
      <c r="U50" s="87">
        <f t="shared" si="17"/>
        <v>1.799999999999996E-3</v>
      </c>
      <c r="V50" s="88">
        <f t="shared" si="18"/>
        <v>1.799999999999996E-3</v>
      </c>
    </row>
    <row r="51" spans="1:22">
      <c r="A51" s="167">
        <v>43</v>
      </c>
      <c r="B51" s="160" t="s">
        <v>96</v>
      </c>
      <c r="C51" s="159" t="s">
        <v>48</v>
      </c>
      <c r="D51" s="77">
        <v>810215569.87</v>
      </c>
      <c r="E51" s="59">
        <f t="shared" si="13"/>
        <v>5.3152104397964867E-4</v>
      </c>
      <c r="F51" s="60">
        <v>10</v>
      </c>
      <c r="G51" s="60">
        <v>10</v>
      </c>
      <c r="H51" s="61">
        <v>736</v>
      </c>
      <c r="I51" s="80">
        <v>0.16400000000000001</v>
      </c>
      <c r="J51" s="80">
        <v>0.16400000000000001</v>
      </c>
      <c r="K51" s="77">
        <v>868637428.47000003</v>
      </c>
      <c r="L51" s="59">
        <f t="shared" si="12"/>
        <v>5.6984719868349604E-4</v>
      </c>
      <c r="M51" s="60">
        <v>10</v>
      </c>
      <c r="N51" s="60">
        <v>10</v>
      </c>
      <c r="O51" s="61">
        <v>735</v>
      </c>
      <c r="P51" s="80">
        <v>0.1646</v>
      </c>
      <c r="Q51" s="165">
        <v>0.1646</v>
      </c>
      <c r="R51" s="86">
        <f t="shared" si="14"/>
        <v>7.2106561232060593E-2</v>
      </c>
      <c r="S51" s="86">
        <f t="shared" si="15"/>
        <v>0</v>
      </c>
      <c r="T51" s="86">
        <f t="shared" si="16"/>
        <v>-1.358695652173913E-3</v>
      </c>
      <c r="U51" s="87">
        <f t="shared" si="17"/>
        <v>5.9999999999998943E-4</v>
      </c>
      <c r="V51" s="88">
        <f t="shared" si="18"/>
        <v>5.9999999999998943E-4</v>
      </c>
    </row>
    <row r="52" spans="1:22">
      <c r="A52" s="167">
        <v>44</v>
      </c>
      <c r="B52" s="160" t="s">
        <v>97</v>
      </c>
      <c r="C52" s="159" t="s">
        <v>98</v>
      </c>
      <c r="D52" s="77">
        <v>715815179.47000003</v>
      </c>
      <c r="E52" s="59">
        <f t="shared" si="13"/>
        <v>4.6959210071638213E-4</v>
      </c>
      <c r="F52" s="60">
        <v>1</v>
      </c>
      <c r="G52" s="60">
        <v>1</v>
      </c>
      <c r="H52" s="61">
        <v>61</v>
      </c>
      <c r="I52" s="80">
        <v>0.2145</v>
      </c>
      <c r="J52" s="80">
        <v>0.2145</v>
      </c>
      <c r="K52" s="77">
        <v>714140648.15999997</v>
      </c>
      <c r="L52" s="59">
        <f t="shared" si="12"/>
        <v>4.684935676059772E-4</v>
      </c>
      <c r="M52" s="60">
        <v>1</v>
      </c>
      <c r="N52" s="60">
        <v>1</v>
      </c>
      <c r="O52" s="61">
        <v>61</v>
      </c>
      <c r="P52" s="80">
        <v>0.2253</v>
      </c>
      <c r="Q52" s="80">
        <v>0.2253</v>
      </c>
      <c r="R52" s="86">
        <f t="shared" si="14"/>
        <v>-2.3393347305653805E-3</v>
      </c>
      <c r="S52" s="86">
        <f t="shared" si="15"/>
        <v>0</v>
      </c>
      <c r="T52" s="86">
        <f t="shared" si="16"/>
        <v>0</v>
      </c>
      <c r="U52" s="87">
        <f t="shared" si="17"/>
        <v>1.0800000000000004E-2</v>
      </c>
      <c r="V52" s="88">
        <f t="shared" si="18"/>
        <v>1.0800000000000004E-2</v>
      </c>
    </row>
    <row r="53" spans="1:22">
      <c r="A53" s="167">
        <v>45</v>
      </c>
      <c r="B53" s="160" t="s">
        <v>99</v>
      </c>
      <c r="C53" s="159" t="s">
        <v>100</v>
      </c>
      <c r="D53" s="77">
        <v>5152795285.6345997</v>
      </c>
      <c r="E53" s="59">
        <f t="shared" si="13"/>
        <v>3.3803585508401933E-3</v>
      </c>
      <c r="F53" s="60">
        <v>100</v>
      </c>
      <c r="G53" s="60">
        <v>100</v>
      </c>
      <c r="H53" s="61">
        <v>73</v>
      </c>
      <c r="I53" s="80">
        <v>0.22939999999999999</v>
      </c>
      <c r="J53" s="80">
        <v>0.22939999999999999</v>
      </c>
      <c r="K53" s="77">
        <v>5271623462.6187992</v>
      </c>
      <c r="L53" s="59">
        <f t="shared" si="12"/>
        <v>3.4583127139464075E-3</v>
      </c>
      <c r="M53" s="60">
        <v>100</v>
      </c>
      <c r="N53" s="60">
        <v>100</v>
      </c>
      <c r="O53" s="61">
        <v>73</v>
      </c>
      <c r="P53" s="80">
        <v>0.23130000000000001</v>
      </c>
      <c r="Q53" s="80">
        <v>0.23130000000000001</v>
      </c>
      <c r="R53" s="86">
        <f t="shared" si="14"/>
        <v>2.3060915560817796E-2</v>
      </c>
      <c r="S53" s="86">
        <f t="shared" si="15"/>
        <v>0</v>
      </c>
      <c r="T53" s="86">
        <f t="shared" si="16"/>
        <v>0</v>
      </c>
      <c r="U53" s="87">
        <f t="shared" si="17"/>
        <v>1.9000000000000128E-3</v>
      </c>
      <c r="V53" s="88">
        <f t="shared" si="18"/>
        <v>1.9000000000000128E-3</v>
      </c>
    </row>
    <row r="54" spans="1:22">
      <c r="A54" s="167">
        <v>46</v>
      </c>
      <c r="B54" s="160" t="s">
        <v>101</v>
      </c>
      <c r="C54" s="159" t="s">
        <v>102</v>
      </c>
      <c r="D54" s="77">
        <v>56672611.009999998</v>
      </c>
      <c r="E54" s="59">
        <f t="shared" si="13"/>
        <v>3.7178605903513989E-5</v>
      </c>
      <c r="F54" s="60">
        <v>1000</v>
      </c>
      <c r="G54" s="60">
        <v>1000</v>
      </c>
      <c r="H54" s="61">
        <v>19</v>
      </c>
      <c r="I54" s="80">
        <v>0.19800000000000001</v>
      </c>
      <c r="J54" s="80">
        <v>0.19800000000000001</v>
      </c>
      <c r="K54" s="77">
        <v>56772611.009999998</v>
      </c>
      <c r="L54" s="59">
        <f t="shared" si="12"/>
        <v>3.7244208326343872E-5</v>
      </c>
      <c r="M54" s="60">
        <v>1000</v>
      </c>
      <c r="N54" s="60">
        <v>1000</v>
      </c>
      <c r="O54" s="61">
        <v>20</v>
      </c>
      <c r="P54" s="80">
        <v>0.19750000000000001</v>
      </c>
      <c r="Q54" s="80">
        <v>0.19750000000000001</v>
      </c>
      <c r="R54" s="86">
        <f t="shared" si="14"/>
        <v>1.7645207838113334E-3</v>
      </c>
      <c r="S54" s="86">
        <f t="shared" si="15"/>
        <v>0</v>
      </c>
      <c r="T54" s="86">
        <f t="shared" si="16"/>
        <v>5.2631578947368418E-2</v>
      </c>
      <c r="U54" s="87">
        <f t="shared" si="17"/>
        <v>-5.0000000000000044E-4</v>
      </c>
      <c r="V54" s="88">
        <f t="shared" si="18"/>
        <v>-5.0000000000000044E-4</v>
      </c>
    </row>
    <row r="55" spans="1:22">
      <c r="A55" s="167">
        <v>47</v>
      </c>
      <c r="B55" s="160" t="s">
        <v>103</v>
      </c>
      <c r="C55" s="159" t="s">
        <v>52</v>
      </c>
      <c r="D55" s="74">
        <v>694321363927.19995</v>
      </c>
      <c r="E55" s="59">
        <f t="shared" si="13"/>
        <v>0.45549163696171974</v>
      </c>
      <c r="F55" s="60">
        <v>100</v>
      </c>
      <c r="G55" s="60">
        <v>100</v>
      </c>
      <c r="H55" s="61">
        <v>140725</v>
      </c>
      <c r="I55" s="80">
        <v>0.20519999999999999</v>
      </c>
      <c r="J55" s="80">
        <v>0.20519999999999999</v>
      </c>
      <c r="K55" s="74">
        <v>699141323550.73999</v>
      </c>
      <c r="L55" s="59">
        <f t="shared" si="12"/>
        <v>0.458653647254184</v>
      </c>
      <c r="M55" s="60">
        <v>100</v>
      </c>
      <c r="N55" s="60">
        <v>100</v>
      </c>
      <c r="O55" s="61">
        <v>141557</v>
      </c>
      <c r="P55" s="80">
        <v>0.20580000000000001</v>
      </c>
      <c r="Q55" s="80">
        <v>0.20580000000000001</v>
      </c>
      <c r="R55" s="86">
        <f t="shared" si="14"/>
        <v>6.9419722249039351E-3</v>
      </c>
      <c r="S55" s="86">
        <f t="shared" si="15"/>
        <v>0</v>
      </c>
      <c r="T55" s="86">
        <f t="shared" si="16"/>
        <v>5.9122401847575062E-3</v>
      </c>
      <c r="U55" s="87">
        <f t="shared" si="17"/>
        <v>6.0000000000001719E-4</v>
      </c>
      <c r="V55" s="88">
        <f t="shared" si="18"/>
        <v>6.0000000000001719E-4</v>
      </c>
    </row>
    <row r="56" spans="1:22">
      <c r="A56" s="167">
        <v>48</v>
      </c>
      <c r="B56" s="160" t="s">
        <v>104</v>
      </c>
      <c r="C56" s="160" t="s">
        <v>105</v>
      </c>
      <c r="D56" s="74">
        <v>1623952894.1700001</v>
      </c>
      <c r="E56" s="59">
        <f t="shared" si="13"/>
        <v>1.0653524441914962E-3</v>
      </c>
      <c r="F56" s="60">
        <v>100</v>
      </c>
      <c r="G56" s="60">
        <v>100</v>
      </c>
      <c r="H56" s="61">
        <v>270</v>
      </c>
      <c r="I56" s="80">
        <v>0.21360000000000001</v>
      </c>
      <c r="J56" s="80">
        <v>0.21360000000000001</v>
      </c>
      <c r="K56" s="74">
        <v>1663656800.77</v>
      </c>
      <c r="L56" s="59">
        <f t="shared" si="12"/>
        <v>1.0913991688792091E-3</v>
      </c>
      <c r="M56" s="60">
        <v>100</v>
      </c>
      <c r="N56" s="60">
        <v>100</v>
      </c>
      <c r="O56" s="61">
        <v>271</v>
      </c>
      <c r="P56" s="80">
        <v>0.21360000000000001</v>
      </c>
      <c r="Q56" s="80">
        <v>0.21360000000000001</v>
      </c>
      <c r="R56" s="86">
        <f t="shared" si="14"/>
        <v>2.4448927516639893E-2</v>
      </c>
      <c r="S56" s="86">
        <f t="shared" si="15"/>
        <v>0</v>
      </c>
      <c r="T56" s="86">
        <f t="shared" si="16"/>
        <v>3.7037037037037038E-3</v>
      </c>
      <c r="U56" s="87">
        <f t="shared" si="17"/>
        <v>0</v>
      </c>
      <c r="V56" s="88">
        <f t="shared" si="18"/>
        <v>0</v>
      </c>
    </row>
    <row r="57" spans="1:22">
      <c r="A57" s="167">
        <v>49</v>
      </c>
      <c r="B57" s="160" t="s">
        <v>106</v>
      </c>
      <c r="C57" s="159" t="s">
        <v>107</v>
      </c>
      <c r="D57" s="74">
        <v>3913171174.4200001</v>
      </c>
      <c r="E57" s="59">
        <f t="shared" si="13"/>
        <v>2.5671350999000352E-3</v>
      </c>
      <c r="F57" s="60">
        <v>1</v>
      </c>
      <c r="G57" s="60">
        <v>1</v>
      </c>
      <c r="H57" s="61">
        <v>397</v>
      </c>
      <c r="I57" s="80">
        <v>0.20154813599999999</v>
      </c>
      <c r="J57" s="80">
        <v>0.20154813599999999</v>
      </c>
      <c r="K57" s="74">
        <v>3847399407.1500001</v>
      </c>
      <c r="L57" s="59">
        <f t="shared" si="12"/>
        <v>2.5239872270328844E-3</v>
      </c>
      <c r="M57" s="60">
        <v>1</v>
      </c>
      <c r="N57" s="60">
        <v>1</v>
      </c>
      <c r="O57" s="61">
        <v>392</v>
      </c>
      <c r="P57" s="80">
        <v>0.20952592010000001</v>
      </c>
      <c r="Q57" s="80">
        <v>0.20952592010000001</v>
      </c>
      <c r="R57" s="86">
        <f t="shared" si="14"/>
        <v>-1.6807792028098158E-2</v>
      </c>
      <c r="S57" s="86">
        <f t="shared" si="15"/>
        <v>0</v>
      </c>
      <c r="T57" s="86">
        <f t="shared" si="16"/>
        <v>-1.2594458438287154E-2</v>
      </c>
      <c r="U57" s="87">
        <f t="shared" si="17"/>
        <v>7.9777841000000238E-3</v>
      </c>
      <c r="V57" s="88">
        <f t="shared" si="18"/>
        <v>7.9777841000000238E-3</v>
      </c>
    </row>
    <row r="58" spans="1:22">
      <c r="A58" s="167">
        <v>50</v>
      </c>
      <c r="B58" s="160" t="s">
        <v>108</v>
      </c>
      <c r="C58" s="159" t="s">
        <v>55</v>
      </c>
      <c r="D58" s="74">
        <v>62832496718.839996</v>
      </c>
      <c r="E58" s="59">
        <f t="shared" si="13"/>
        <v>4.1219640172064628E-2</v>
      </c>
      <c r="F58" s="60">
        <v>1</v>
      </c>
      <c r="G58" s="60">
        <v>1</v>
      </c>
      <c r="H58" s="61">
        <v>35944</v>
      </c>
      <c r="I58" s="80">
        <v>0.2208</v>
      </c>
      <c r="J58" s="80">
        <v>0.2208</v>
      </c>
      <c r="K58" s="74">
        <v>63803853072.800003</v>
      </c>
      <c r="L58" s="59">
        <f t="shared" si="12"/>
        <v>4.185687347457439E-2</v>
      </c>
      <c r="M58" s="60">
        <v>1</v>
      </c>
      <c r="N58" s="60">
        <v>1</v>
      </c>
      <c r="O58" s="61">
        <v>36411</v>
      </c>
      <c r="P58" s="80">
        <v>0.21809999999999999</v>
      </c>
      <c r="Q58" s="80">
        <v>0.21809999999999999</v>
      </c>
      <c r="R58" s="86">
        <f t="shared" si="14"/>
        <v>1.5459458157561175E-2</v>
      </c>
      <c r="S58" s="86">
        <f t="shared" si="15"/>
        <v>0</v>
      </c>
      <c r="T58" s="86">
        <f t="shared" si="16"/>
        <v>1.2992432673046962E-2</v>
      </c>
      <c r="U58" s="87">
        <f t="shared" si="17"/>
        <v>-2.7000000000000079E-3</v>
      </c>
      <c r="V58" s="88">
        <f t="shared" si="18"/>
        <v>-2.7000000000000079E-3</v>
      </c>
    </row>
    <row r="59" spans="1:22">
      <c r="A59" s="167">
        <v>51</v>
      </c>
      <c r="B59" s="160" t="s">
        <v>109</v>
      </c>
      <c r="C59" s="159" t="s">
        <v>110</v>
      </c>
      <c r="D59" s="74">
        <v>1157037520.03</v>
      </c>
      <c r="E59" s="59">
        <f t="shared" si="13"/>
        <v>7.5904464619045158E-4</v>
      </c>
      <c r="F59" s="60">
        <v>1</v>
      </c>
      <c r="G59" s="60">
        <v>1</v>
      </c>
      <c r="H59" s="61">
        <v>130</v>
      </c>
      <c r="I59" s="80">
        <v>0.2135</v>
      </c>
      <c r="J59" s="80">
        <v>0.2135</v>
      </c>
      <c r="K59" s="74">
        <v>1161204439.04</v>
      </c>
      <c r="L59" s="59">
        <f t="shared" si="12"/>
        <v>7.6177824601837045E-4</v>
      </c>
      <c r="M59" s="60">
        <v>1</v>
      </c>
      <c r="N59" s="60">
        <v>1</v>
      </c>
      <c r="O59" s="61">
        <v>132</v>
      </c>
      <c r="P59" s="80">
        <v>0.21809999999999999</v>
      </c>
      <c r="Q59" s="80">
        <v>0.21809999999999999</v>
      </c>
      <c r="R59" s="86">
        <f t="shared" si="14"/>
        <v>3.6013689598345519E-3</v>
      </c>
      <c r="S59" s="86">
        <f t="shared" si="15"/>
        <v>0</v>
      </c>
      <c r="T59" s="86">
        <f t="shared" si="16"/>
        <v>1.5384615384615385E-2</v>
      </c>
      <c r="U59" s="87">
        <f t="shared" si="17"/>
        <v>4.599999999999993E-3</v>
      </c>
      <c r="V59" s="88">
        <f t="shared" si="18"/>
        <v>4.599999999999993E-3</v>
      </c>
    </row>
    <row r="60" spans="1:22">
      <c r="A60" s="167">
        <v>52</v>
      </c>
      <c r="B60" s="160" t="s">
        <v>111</v>
      </c>
      <c r="C60" s="159" t="s">
        <v>112</v>
      </c>
      <c r="D60" s="74">
        <v>2732425079.0999999</v>
      </c>
      <c r="E60" s="59">
        <f t="shared" si="13"/>
        <v>1.7925370539008968E-3</v>
      </c>
      <c r="F60" s="60">
        <v>1</v>
      </c>
      <c r="G60" s="60">
        <v>1</v>
      </c>
      <c r="H60" s="61">
        <v>296</v>
      </c>
      <c r="I60" s="80">
        <v>0.20549999999999999</v>
      </c>
      <c r="J60" s="80">
        <v>0.20549999999999999</v>
      </c>
      <c r="K60" s="74">
        <v>2833620198.8299999</v>
      </c>
      <c r="L60" s="59">
        <f t="shared" si="12"/>
        <v>1.8589235042293761E-3</v>
      </c>
      <c r="M60" s="60">
        <v>1</v>
      </c>
      <c r="N60" s="60">
        <v>1</v>
      </c>
      <c r="O60" s="61">
        <v>327</v>
      </c>
      <c r="P60" s="80">
        <v>0.20330000000000001</v>
      </c>
      <c r="Q60" s="80">
        <v>0.20330000000000001</v>
      </c>
      <c r="R60" s="86">
        <f t="shared" si="14"/>
        <v>3.7034911040756312E-2</v>
      </c>
      <c r="S60" s="86">
        <f t="shared" si="15"/>
        <v>0</v>
      </c>
      <c r="T60" s="86">
        <f t="shared" si="16"/>
        <v>0.10472972972972973</v>
      </c>
      <c r="U60" s="87">
        <f t="shared" si="17"/>
        <v>-2.1999999999999797E-3</v>
      </c>
      <c r="V60" s="88">
        <f t="shared" si="18"/>
        <v>-2.1999999999999797E-3</v>
      </c>
    </row>
    <row r="61" spans="1:22">
      <c r="A61" s="167">
        <v>53</v>
      </c>
      <c r="B61" s="160" t="s">
        <v>113</v>
      </c>
      <c r="C61" s="159" t="s">
        <v>114</v>
      </c>
      <c r="D61" s="74">
        <v>2725669778.4299998</v>
      </c>
      <c r="E61" s="59">
        <f t="shared" si="13"/>
        <v>1.7881054129919337E-3</v>
      </c>
      <c r="F61" s="60">
        <v>1</v>
      </c>
      <c r="G61" s="60">
        <v>1</v>
      </c>
      <c r="H61" s="61">
        <v>1475</v>
      </c>
      <c r="I61" s="80">
        <v>0.2273</v>
      </c>
      <c r="J61" s="80">
        <v>0.2273</v>
      </c>
      <c r="K61" s="74">
        <v>2407975329.77</v>
      </c>
      <c r="L61" s="59">
        <f t="shared" si="12"/>
        <v>1.5796901574749408E-3</v>
      </c>
      <c r="M61" s="60">
        <v>1</v>
      </c>
      <c r="N61" s="60">
        <v>1</v>
      </c>
      <c r="O61" s="61">
        <v>1542</v>
      </c>
      <c r="P61" s="80">
        <v>0.23250000000000001</v>
      </c>
      <c r="Q61" s="80">
        <v>0.23250000000000001</v>
      </c>
      <c r="R61" s="86">
        <f t="shared" si="14"/>
        <v>-0.11655647033038372</v>
      </c>
      <c r="S61" s="86">
        <f t="shared" si="15"/>
        <v>0</v>
      </c>
      <c r="T61" s="86">
        <f t="shared" si="16"/>
        <v>4.5423728813559321E-2</v>
      </c>
      <c r="U61" s="87">
        <f t="shared" si="17"/>
        <v>5.2000000000000102E-3</v>
      </c>
      <c r="V61" s="88">
        <f t="shared" si="18"/>
        <v>5.2000000000000102E-3</v>
      </c>
    </row>
    <row r="62" spans="1:22">
      <c r="A62" s="167">
        <v>54</v>
      </c>
      <c r="B62" s="160" t="s">
        <v>115</v>
      </c>
      <c r="C62" s="159" t="s">
        <v>116</v>
      </c>
      <c r="D62" s="74">
        <v>43964922322.849998</v>
      </c>
      <c r="E62" s="59">
        <f t="shared" si="13"/>
        <v>2.8842054239064871E-2</v>
      </c>
      <c r="F62" s="60">
        <v>1</v>
      </c>
      <c r="G62" s="60">
        <v>1</v>
      </c>
      <c r="H62" s="61">
        <v>4098</v>
      </c>
      <c r="I62" s="80">
        <v>0.21049999999999999</v>
      </c>
      <c r="J62" s="80">
        <v>0.21049999999999999</v>
      </c>
      <c r="K62" s="74">
        <v>44749330138.75</v>
      </c>
      <c r="L62" s="59">
        <f t="shared" si="12"/>
        <v>2.9356644771162226E-2</v>
      </c>
      <c r="M62" s="60">
        <v>1</v>
      </c>
      <c r="N62" s="60">
        <v>1</v>
      </c>
      <c r="O62" s="61">
        <v>4128</v>
      </c>
      <c r="P62" s="80">
        <v>0.21099999999999999</v>
      </c>
      <c r="Q62" s="80">
        <v>0.21099999999999999</v>
      </c>
      <c r="R62" s="86">
        <f t="shared" si="14"/>
        <v>1.7841674099633727E-2</v>
      </c>
      <c r="S62" s="86">
        <f t="shared" si="15"/>
        <v>0</v>
      </c>
      <c r="T62" s="86">
        <f t="shared" si="16"/>
        <v>7.320644216691069E-3</v>
      </c>
      <c r="U62" s="87">
        <f t="shared" si="17"/>
        <v>5.0000000000000044E-4</v>
      </c>
      <c r="V62" s="88">
        <f t="shared" si="18"/>
        <v>5.0000000000000044E-4</v>
      </c>
    </row>
    <row r="63" spans="1:22">
      <c r="A63" s="65"/>
      <c r="B63" s="66"/>
      <c r="C63" s="67" t="s">
        <v>56</v>
      </c>
      <c r="D63" s="78">
        <f>SUM(D27:D62)</f>
        <v>1514887327409.4045</v>
      </c>
      <c r="E63" s="69">
        <f>(D63/$D$206)</f>
        <v>0.403316692634893</v>
      </c>
      <c r="F63" s="70"/>
      <c r="G63" s="75"/>
      <c r="H63" s="72">
        <f>SUM(H27:H62)</f>
        <v>337081</v>
      </c>
      <c r="I63" s="85"/>
      <c r="J63" s="85"/>
      <c r="K63" s="78">
        <f>SUM(K27:K62)</f>
        <v>1524333945094.0388</v>
      </c>
      <c r="L63" s="69">
        <f>(K63/$K$206)</f>
        <v>0.40309190544717255</v>
      </c>
      <c r="M63" s="70"/>
      <c r="N63" s="75"/>
      <c r="O63" s="72">
        <f>SUM(O27:O62)</f>
        <v>339208</v>
      </c>
      <c r="P63" s="85"/>
      <c r="Q63" s="85"/>
      <c r="R63" s="86">
        <f t="shared" si="14"/>
        <v>6.2358549799138227E-3</v>
      </c>
      <c r="S63" s="86" t="e">
        <f t="shared" si="15"/>
        <v>#DIV/0!</v>
      </c>
      <c r="T63" s="86">
        <f t="shared" si="16"/>
        <v>6.3100560399429219E-3</v>
      </c>
      <c r="U63" s="87">
        <f t="shared" si="17"/>
        <v>0</v>
      </c>
      <c r="V63" s="88">
        <f t="shared" si="18"/>
        <v>0</v>
      </c>
    </row>
    <row r="64" spans="1:22" ht="3" customHeight="1">
      <c r="A64" s="65"/>
      <c r="B64" s="172"/>
      <c r="C64" s="172"/>
      <c r="D64" s="172"/>
      <c r="E64" s="172"/>
      <c r="F64" s="172"/>
      <c r="G64" s="172"/>
      <c r="H64" s="172"/>
      <c r="I64" s="172"/>
      <c r="J64" s="172"/>
      <c r="K64" s="172"/>
      <c r="L64" s="172"/>
      <c r="M64" s="172"/>
      <c r="N64" s="172"/>
      <c r="O64" s="172"/>
      <c r="P64" s="172"/>
      <c r="Q64" s="172"/>
      <c r="R64" s="172"/>
      <c r="S64" s="172"/>
      <c r="T64" s="172"/>
      <c r="U64" s="172"/>
      <c r="V64" s="172"/>
    </row>
    <row r="65" spans="1:22" ht="15" customHeight="1">
      <c r="A65" s="176" t="s">
        <v>117</v>
      </c>
      <c r="B65" s="176"/>
      <c r="C65" s="176"/>
      <c r="D65" s="176"/>
      <c r="E65" s="176"/>
      <c r="F65" s="176"/>
      <c r="G65" s="176"/>
      <c r="H65" s="176"/>
      <c r="I65" s="176"/>
      <c r="J65" s="176"/>
      <c r="K65" s="176"/>
      <c r="L65" s="176"/>
      <c r="M65" s="176"/>
      <c r="N65" s="176"/>
      <c r="O65" s="176"/>
      <c r="P65" s="176"/>
      <c r="Q65" s="176"/>
      <c r="R65" s="176"/>
      <c r="S65" s="176"/>
      <c r="T65" s="176"/>
      <c r="U65" s="176"/>
      <c r="V65" s="176"/>
    </row>
    <row r="66" spans="1:22">
      <c r="A66" s="167">
        <v>55</v>
      </c>
      <c r="B66" s="160" t="s">
        <v>118</v>
      </c>
      <c r="C66" s="159" t="s">
        <v>24</v>
      </c>
      <c r="D66" s="58">
        <v>493130883.63999999</v>
      </c>
      <c r="E66" s="59">
        <f>(D66/$D$102)</f>
        <v>2.2725270938343104E-3</v>
      </c>
      <c r="F66" s="90">
        <v>1.2862</v>
      </c>
      <c r="G66" s="90">
        <v>1.2862</v>
      </c>
      <c r="H66" s="61">
        <v>463</v>
      </c>
      <c r="I66" s="80">
        <v>1.4790000000000001E-3</v>
      </c>
      <c r="J66" s="80">
        <v>4.7999999999999996E-3</v>
      </c>
      <c r="K66" s="58">
        <v>493130883.63999999</v>
      </c>
      <c r="L66" s="59">
        <f t="shared" ref="L66:L87" si="21">(K66/$K$102)</f>
        <v>2.3200738193978774E-3</v>
      </c>
      <c r="M66" s="90">
        <v>1.2914000000000001</v>
      </c>
      <c r="N66" s="90">
        <v>1.2914000000000001</v>
      </c>
      <c r="O66" s="61">
        <v>463</v>
      </c>
      <c r="P66" s="80">
        <v>7.7000000000000001E-5</v>
      </c>
      <c r="Q66" s="80">
        <v>8.8000000000000005E-3</v>
      </c>
      <c r="R66" s="86">
        <f>((K66-D66)/D66)</f>
        <v>0</v>
      </c>
      <c r="S66" s="86">
        <f>((N66-G66)/G66)</f>
        <v>4.0429171201991085E-3</v>
      </c>
      <c r="T66" s="86">
        <f>((O66-H66)/H66)</f>
        <v>0</v>
      </c>
      <c r="U66" s="87">
        <f>P66-I66</f>
        <v>-1.402E-3</v>
      </c>
      <c r="V66" s="88">
        <f>Q66-J66</f>
        <v>4.000000000000001E-3</v>
      </c>
    </row>
    <row r="67" spans="1:22">
      <c r="A67" s="167">
        <v>56</v>
      </c>
      <c r="B67" s="160" t="s">
        <v>119</v>
      </c>
      <c r="C67" s="159" t="s">
        <v>26</v>
      </c>
      <c r="D67" s="58">
        <v>1425145740.52</v>
      </c>
      <c r="E67" s="59">
        <f>(D67/$D$102)</f>
        <v>6.567591719440137E-3</v>
      </c>
      <c r="F67" s="90">
        <v>1.2025999999999999</v>
      </c>
      <c r="G67" s="90">
        <v>1.2025999999999999</v>
      </c>
      <c r="H67" s="61">
        <v>751</v>
      </c>
      <c r="I67" s="80">
        <v>0.1133</v>
      </c>
      <c r="J67" s="80">
        <v>4.4699999999999997E-2</v>
      </c>
      <c r="K67" s="58">
        <v>1424635759.1900001</v>
      </c>
      <c r="L67" s="59">
        <f t="shared" si="21"/>
        <v>6.7026021624873025E-3</v>
      </c>
      <c r="M67" s="90">
        <v>1.2087000000000001</v>
      </c>
      <c r="N67" s="90">
        <v>1.2087000000000001</v>
      </c>
      <c r="O67" s="61">
        <v>768</v>
      </c>
      <c r="P67" s="80">
        <v>0.2215</v>
      </c>
      <c r="Q67" s="80">
        <v>4.8899999999999999E-2</v>
      </c>
      <c r="R67" s="86">
        <f t="shared" ref="R67:R102" si="22">((K67-D67)/D67)</f>
        <v>-3.5784503682679099E-4</v>
      </c>
      <c r="S67" s="86">
        <f t="shared" ref="S67:S102" si="23">((N67-G67)/G67)</f>
        <v>5.0723432562782443E-3</v>
      </c>
      <c r="T67" s="86">
        <f t="shared" ref="T67:T102" si="24">((O67-H67)/H67)</f>
        <v>2.2636484687083888E-2</v>
      </c>
      <c r="U67" s="87">
        <f t="shared" ref="U67:U102" si="25">P67-I67</f>
        <v>0.1082</v>
      </c>
      <c r="V67" s="88">
        <f t="shared" ref="V67:V102" si="26">Q67-J67</f>
        <v>4.2000000000000023E-3</v>
      </c>
    </row>
    <row r="68" spans="1:22">
      <c r="A68" s="167">
        <v>57</v>
      </c>
      <c r="B68" s="160" t="s">
        <v>120</v>
      </c>
      <c r="C68" s="159" t="s">
        <v>26</v>
      </c>
      <c r="D68" s="58">
        <v>832693013.97000003</v>
      </c>
      <c r="E68" s="59">
        <f>(D68/$D$102)</f>
        <v>3.8373533231693194E-3</v>
      </c>
      <c r="F68" s="90">
        <v>1.0941000000000001</v>
      </c>
      <c r="G68" s="90">
        <v>1.0941000000000001</v>
      </c>
      <c r="H68" s="61">
        <v>189</v>
      </c>
      <c r="I68" s="80">
        <v>0.1101</v>
      </c>
      <c r="J68" s="80">
        <v>2.7300000000000001E-2</v>
      </c>
      <c r="K68" s="58">
        <v>837512997.40999997</v>
      </c>
      <c r="L68" s="59">
        <f t="shared" si="21"/>
        <v>3.9403169486235167E-3</v>
      </c>
      <c r="M68" s="90">
        <v>1.099</v>
      </c>
      <c r="N68" s="90">
        <v>1.099</v>
      </c>
      <c r="O68" s="61">
        <v>197</v>
      </c>
      <c r="P68" s="80">
        <v>0.1192</v>
      </c>
      <c r="Q68" s="80">
        <v>3.15E-2</v>
      </c>
      <c r="R68" s="86">
        <f t="shared" si="22"/>
        <v>5.7884278589295226E-3</v>
      </c>
      <c r="S68" s="86">
        <f t="shared" si="23"/>
        <v>4.478566858605159E-3</v>
      </c>
      <c r="T68" s="86">
        <f t="shared" si="24"/>
        <v>4.2328042328042326E-2</v>
      </c>
      <c r="U68" s="87">
        <f t="shared" si="25"/>
        <v>9.099999999999997E-3</v>
      </c>
      <c r="V68" s="88">
        <f t="shared" si="26"/>
        <v>4.1999999999999989E-3</v>
      </c>
    </row>
    <row r="69" spans="1:22">
      <c r="A69" s="167">
        <v>58</v>
      </c>
      <c r="B69" s="160" t="s">
        <v>121</v>
      </c>
      <c r="C69" s="159" t="s">
        <v>122</v>
      </c>
      <c r="D69" s="58">
        <v>272019442.86000001</v>
      </c>
      <c r="E69" s="59">
        <f>(D69/$D$102)</f>
        <v>1.2535648738649016E-3</v>
      </c>
      <c r="F69" s="64">
        <v>1082.1500000000001</v>
      </c>
      <c r="G69" s="64">
        <v>1082.1500000000001</v>
      </c>
      <c r="H69" s="61">
        <v>110</v>
      </c>
      <c r="I69" s="80">
        <v>-0.2011</v>
      </c>
      <c r="J69" s="80">
        <v>4.6966000000000001</v>
      </c>
      <c r="K69" s="58">
        <v>274752836.92000002</v>
      </c>
      <c r="L69" s="59">
        <f t="shared" si="21"/>
        <v>1.2926524881956927E-3</v>
      </c>
      <c r="M69" s="64">
        <v>1083.97</v>
      </c>
      <c r="N69" s="64">
        <v>1083.97</v>
      </c>
      <c r="O69" s="61">
        <v>110</v>
      </c>
      <c r="P69" s="80">
        <v>0.16819999999999999</v>
      </c>
      <c r="Q69" s="80">
        <v>4.8917000000000002E-2</v>
      </c>
      <c r="R69" s="86">
        <f t="shared" si="22"/>
        <v>1.0048524588026584E-2</v>
      </c>
      <c r="S69" s="86">
        <f t="shared" si="23"/>
        <v>1.6818370835835477E-3</v>
      </c>
      <c r="T69" s="86">
        <f t="shared" si="24"/>
        <v>0</v>
      </c>
      <c r="U69" s="87">
        <f t="shared" si="25"/>
        <v>0.36929999999999996</v>
      </c>
      <c r="V69" s="88">
        <f t="shared" si="26"/>
        <v>-4.6476829999999998</v>
      </c>
    </row>
    <row r="70" spans="1:22" ht="15" customHeight="1">
      <c r="A70" s="167">
        <v>59</v>
      </c>
      <c r="B70" s="160" t="s">
        <v>123</v>
      </c>
      <c r="C70" s="159" t="s">
        <v>30</v>
      </c>
      <c r="D70" s="58">
        <v>1297247757.49</v>
      </c>
      <c r="E70" s="59">
        <f>(D70/$K$102)</f>
        <v>6.1032692521897141E-3</v>
      </c>
      <c r="F70" s="64">
        <v>1.0773999999999999</v>
      </c>
      <c r="G70" s="64">
        <v>1.0773999999999999</v>
      </c>
      <c r="H70" s="61">
        <v>890</v>
      </c>
      <c r="I70" s="80">
        <v>2.3999999999999998E-3</v>
      </c>
      <c r="J70" s="80">
        <v>9.9900000000000003E-2</v>
      </c>
      <c r="K70" s="58">
        <v>1266009956.6700001</v>
      </c>
      <c r="L70" s="59">
        <f t="shared" si="21"/>
        <v>5.9563021765868095E-3</v>
      </c>
      <c r="M70" s="64">
        <v>1.0809</v>
      </c>
      <c r="N70" s="64">
        <v>1.0809</v>
      </c>
      <c r="O70" s="61">
        <v>890</v>
      </c>
      <c r="P70" s="80">
        <v>3.2000000000000002E-3</v>
      </c>
      <c r="Q70" s="80">
        <v>0.1032</v>
      </c>
      <c r="R70" s="86">
        <f t="shared" si="22"/>
        <v>-2.4080057675675521E-2</v>
      </c>
      <c r="S70" s="86">
        <f t="shared" si="23"/>
        <v>3.2485613514015767E-3</v>
      </c>
      <c r="T70" s="86">
        <f t="shared" si="24"/>
        <v>0</v>
      </c>
      <c r="U70" s="87">
        <f t="shared" si="25"/>
        <v>8.0000000000000036E-4</v>
      </c>
      <c r="V70" s="88">
        <v>7.87</v>
      </c>
    </row>
    <row r="71" spans="1:22">
      <c r="A71" s="167">
        <v>60</v>
      </c>
      <c r="B71" s="160" t="s">
        <v>124</v>
      </c>
      <c r="C71" s="159" t="s">
        <v>125</v>
      </c>
      <c r="D71" s="58">
        <v>417544752.71319199</v>
      </c>
      <c r="E71" s="59">
        <f t="shared" ref="E71:E87" si="27">(D71/$D$102)</f>
        <v>1.9241986152337348E-3</v>
      </c>
      <c r="F71" s="64">
        <v>2.4094000000000002</v>
      </c>
      <c r="G71" s="64">
        <v>2.4094000000000002</v>
      </c>
      <c r="H71" s="61">
        <v>1390</v>
      </c>
      <c r="I71" s="80">
        <v>12.096788222129099</v>
      </c>
      <c r="J71" s="80">
        <v>12.4200536233447</v>
      </c>
      <c r="K71" s="58">
        <v>420897118.17005998</v>
      </c>
      <c r="L71" s="59">
        <f t="shared" si="21"/>
        <v>1.9802296244727873E-3</v>
      </c>
      <c r="M71" s="64">
        <v>2.4157000000000002</v>
      </c>
      <c r="N71" s="64">
        <v>2.4157000000000002</v>
      </c>
      <c r="O71" s="61">
        <v>1390</v>
      </c>
      <c r="P71" s="80">
        <v>0.13671453473893899</v>
      </c>
      <c r="Q71" s="80">
        <v>0.124715889738012</v>
      </c>
      <c r="R71" s="86">
        <f t="shared" si="22"/>
        <v>8.0287572411925495E-3</v>
      </c>
      <c r="S71" s="86">
        <f t="shared" si="23"/>
        <v>2.6147588611272398E-3</v>
      </c>
      <c r="T71" s="86">
        <f t="shared" si="24"/>
        <v>0</v>
      </c>
      <c r="U71" s="87">
        <f t="shared" si="25"/>
        <v>-11.96007368739016</v>
      </c>
      <c r="V71" s="88">
        <f t="shared" si="26"/>
        <v>-12.295337733606688</v>
      </c>
    </row>
    <row r="72" spans="1:22">
      <c r="A72" s="167">
        <v>61</v>
      </c>
      <c r="B72" s="160" t="s">
        <v>126</v>
      </c>
      <c r="C72" s="159" t="s">
        <v>66</v>
      </c>
      <c r="D72" s="58">
        <v>139988483.08000001</v>
      </c>
      <c r="E72" s="59">
        <f t="shared" si="27"/>
        <v>6.4511802277690739E-4</v>
      </c>
      <c r="F72" s="64">
        <v>11.22</v>
      </c>
      <c r="G72" s="64">
        <v>11.24</v>
      </c>
      <c r="H72" s="61">
        <v>29</v>
      </c>
      <c r="I72" s="80">
        <v>0.2036</v>
      </c>
      <c r="J72" s="80">
        <v>8.4000000000000005E-2</v>
      </c>
      <c r="K72" s="58">
        <v>139330276.75999999</v>
      </c>
      <c r="L72" s="59">
        <f t="shared" si="21"/>
        <v>6.5551872349638369E-4</v>
      </c>
      <c r="M72" s="64">
        <v>11.16</v>
      </c>
      <c r="N72" s="64">
        <v>11.18</v>
      </c>
      <c r="O72" s="61">
        <v>29</v>
      </c>
      <c r="P72" s="80">
        <v>-0.60599999999999998</v>
      </c>
      <c r="Q72" s="80">
        <v>7.5999999999999998E-2</v>
      </c>
      <c r="R72" s="86">
        <f t="shared" si="22"/>
        <v>-4.7018605067952182E-3</v>
      </c>
      <c r="S72" s="86">
        <f t="shared" si="23"/>
        <v>-5.338078291814991E-3</v>
      </c>
      <c r="T72" s="86">
        <f t="shared" si="24"/>
        <v>0</v>
      </c>
      <c r="U72" s="87">
        <f t="shared" si="25"/>
        <v>-0.80959999999999999</v>
      </c>
      <c r="V72" s="88">
        <f t="shared" si="26"/>
        <v>-8.0000000000000071E-3</v>
      </c>
    </row>
    <row r="73" spans="1:22">
      <c r="A73" s="167">
        <v>62</v>
      </c>
      <c r="B73" s="160" t="s">
        <v>127</v>
      </c>
      <c r="C73" s="159" t="s">
        <v>68</v>
      </c>
      <c r="D73" s="58">
        <v>2129040616.0260799</v>
      </c>
      <c r="E73" s="59">
        <f t="shared" si="27"/>
        <v>9.811396212055257E-3</v>
      </c>
      <c r="F73" s="58">
        <v>4319.5822537035301</v>
      </c>
      <c r="G73" s="58">
        <v>4319.5822537035301</v>
      </c>
      <c r="H73" s="61">
        <v>1046</v>
      </c>
      <c r="I73" s="80">
        <v>8.9715593015038106E-2</v>
      </c>
      <c r="J73" s="80">
        <v>9.59864827302747E-2</v>
      </c>
      <c r="K73" s="58">
        <v>2121798678.3271599</v>
      </c>
      <c r="L73" s="59">
        <f t="shared" si="21"/>
        <v>9.982602442749457E-3</v>
      </c>
      <c r="M73" s="58">
        <v>4326.9454417859697</v>
      </c>
      <c r="N73" s="58">
        <v>4326.9454417859697</v>
      </c>
      <c r="O73" s="61">
        <v>1045</v>
      </c>
      <c r="P73" s="80">
        <v>8.9126569584438403E-2</v>
      </c>
      <c r="Q73" s="80">
        <v>9.5993026111856006E-2</v>
      </c>
      <c r="R73" s="86">
        <f t="shared" si="22"/>
        <v>-3.4015028386059219E-3</v>
      </c>
      <c r="S73" s="86">
        <f t="shared" si="23"/>
        <v>1.7046065221067454E-3</v>
      </c>
      <c r="T73" s="86">
        <f t="shared" si="24"/>
        <v>-9.5602294455066918E-4</v>
      </c>
      <c r="U73" s="87">
        <f t="shared" si="25"/>
        <v>-5.8902343059970275E-4</v>
      </c>
      <c r="V73" s="88">
        <f t="shared" si="26"/>
        <v>6.5433815813059626E-6</v>
      </c>
    </row>
    <row r="74" spans="1:22">
      <c r="A74" s="167">
        <v>63</v>
      </c>
      <c r="B74" s="160" t="s">
        <v>128</v>
      </c>
      <c r="C74" s="159" t="s">
        <v>70</v>
      </c>
      <c r="D74" s="58">
        <v>352787897.00999999</v>
      </c>
      <c r="E74" s="59">
        <f t="shared" si="27"/>
        <v>1.6257753893129364E-3</v>
      </c>
      <c r="F74" s="90">
        <v>112.73</v>
      </c>
      <c r="G74" s="90">
        <v>112.73</v>
      </c>
      <c r="H74" s="61">
        <v>133</v>
      </c>
      <c r="I74" s="80">
        <v>0.1285</v>
      </c>
      <c r="J74" s="80">
        <v>2.2000000000000001E-3</v>
      </c>
      <c r="K74" s="58">
        <v>353798315</v>
      </c>
      <c r="L74" s="59">
        <f t="shared" si="21"/>
        <v>1.664544313103333E-3</v>
      </c>
      <c r="M74" s="90">
        <v>113</v>
      </c>
      <c r="N74" s="90">
        <v>113</v>
      </c>
      <c r="O74" s="61">
        <v>133</v>
      </c>
      <c r="P74" s="80">
        <v>2.3999999999999998E-3</v>
      </c>
      <c r="Q74" s="80">
        <v>0.12859999999999999</v>
      </c>
      <c r="R74" s="86">
        <f t="shared" si="22"/>
        <v>2.8640948245777509E-3</v>
      </c>
      <c r="S74" s="86">
        <f t="shared" si="23"/>
        <v>2.3951033442738937E-3</v>
      </c>
      <c r="T74" s="86">
        <f t="shared" si="24"/>
        <v>0</v>
      </c>
      <c r="U74" s="87">
        <f t="shared" si="25"/>
        <v>-0.12609999999999999</v>
      </c>
      <c r="V74" s="88">
        <f t="shared" si="26"/>
        <v>0.12639999999999998</v>
      </c>
    </row>
    <row r="75" spans="1:22" ht="13.5" customHeight="1">
      <c r="A75" s="167">
        <v>64</v>
      </c>
      <c r="B75" s="160" t="s">
        <v>129</v>
      </c>
      <c r="C75" s="159" t="s">
        <v>130</v>
      </c>
      <c r="D75" s="58">
        <v>340310088.06</v>
      </c>
      <c r="E75" s="59">
        <f t="shared" si="27"/>
        <v>1.5682730915431134E-3</v>
      </c>
      <c r="F75" s="90">
        <v>1.3543000000000001</v>
      </c>
      <c r="G75" s="90">
        <v>1.3543000000000001</v>
      </c>
      <c r="H75" s="61">
        <v>362</v>
      </c>
      <c r="I75" s="80">
        <v>-1.7697831290346001E-2</v>
      </c>
      <c r="J75" s="80">
        <v>3.31573215297606E-2</v>
      </c>
      <c r="K75" s="58">
        <v>339631014.51999998</v>
      </c>
      <c r="L75" s="59">
        <f t="shared" si="21"/>
        <v>1.5978902380379665E-3</v>
      </c>
      <c r="M75" s="90">
        <v>1.3467</v>
      </c>
      <c r="N75" s="90">
        <v>1.3467</v>
      </c>
      <c r="O75" s="61">
        <v>364</v>
      </c>
      <c r="P75" s="80">
        <v>-5.6117551502621304E-3</v>
      </c>
      <c r="Q75" s="80">
        <v>2.7607850920048901E-2</v>
      </c>
      <c r="R75" s="86">
        <f t="shared" si="22"/>
        <v>-1.9954552151868451E-3</v>
      </c>
      <c r="S75" s="86">
        <f t="shared" si="23"/>
        <v>-5.6117551502621659E-3</v>
      </c>
      <c r="T75" s="86">
        <f t="shared" si="24"/>
        <v>5.5248618784530384E-3</v>
      </c>
      <c r="U75" s="87">
        <f t="shared" si="25"/>
        <v>1.2086076140083871E-2</v>
      </c>
      <c r="V75" s="88">
        <f t="shared" si="26"/>
        <v>-5.5494706097116986E-3</v>
      </c>
    </row>
    <row r="76" spans="1:22">
      <c r="A76" s="167">
        <v>65</v>
      </c>
      <c r="B76" s="160" t="s">
        <v>131</v>
      </c>
      <c r="C76" s="159" t="s">
        <v>32</v>
      </c>
      <c r="D76" s="58">
        <v>132614010.59999999</v>
      </c>
      <c r="E76" s="59">
        <f t="shared" si="27"/>
        <v>6.1113376206739175E-4</v>
      </c>
      <c r="F76" s="90">
        <v>127.3258</v>
      </c>
      <c r="G76" s="90">
        <v>127.3258</v>
      </c>
      <c r="H76" s="61">
        <v>162</v>
      </c>
      <c r="I76" s="80">
        <v>3.8699999999999998E-2</v>
      </c>
      <c r="J76" s="80">
        <v>0.1802</v>
      </c>
      <c r="K76" s="58">
        <v>130184586.45999999</v>
      </c>
      <c r="L76" s="59">
        <f t="shared" si="21"/>
        <v>6.124902348551382E-4</v>
      </c>
      <c r="M76" s="90">
        <v>127.762</v>
      </c>
      <c r="N76" s="90">
        <v>127.762</v>
      </c>
      <c r="O76" s="61">
        <v>164</v>
      </c>
      <c r="P76" s="80">
        <v>7.5200000000000003E-2</v>
      </c>
      <c r="Q76" s="80">
        <v>0.1825</v>
      </c>
      <c r="R76" s="86">
        <f t="shared" si="22"/>
        <v>-1.8319513368220242E-2</v>
      </c>
      <c r="S76" s="86">
        <f t="shared" si="23"/>
        <v>3.4258571318617238E-3</v>
      </c>
      <c r="T76" s="86">
        <f t="shared" si="24"/>
        <v>1.2345679012345678E-2</v>
      </c>
      <c r="U76" s="87">
        <f t="shared" si="25"/>
        <v>3.6500000000000005E-2</v>
      </c>
      <c r="V76" s="88">
        <f t="shared" si="26"/>
        <v>2.2999999999999965E-3</v>
      </c>
    </row>
    <row r="77" spans="1:22">
      <c r="A77" s="167">
        <v>66</v>
      </c>
      <c r="B77" s="160" t="s">
        <v>132</v>
      </c>
      <c r="C77" s="159" t="s">
        <v>102</v>
      </c>
      <c r="D77" s="58">
        <v>1573049485.0999999</v>
      </c>
      <c r="E77" s="59">
        <f t="shared" si="27"/>
        <v>7.249186156106922E-3</v>
      </c>
      <c r="F77" s="64">
        <v>1000</v>
      </c>
      <c r="G77" s="64">
        <v>1000</v>
      </c>
      <c r="H77" s="61">
        <v>337</v>
      </c>
      <c r="I77" s="80">
        <v>1.0800000000000001E-2</v>
      </c>
      <c r="J77" s="80">
        <v>0.20669999999999999</v>
      </c>
      <c r="K77" s="58">
        <v>1574578185.0999999</v>
      </c>
      <c r="L77" s="59">
        <f t="shared" si="21"/>
        <v>7.4080487453558729E-3</v>
      </c>
      <c r="M77" s="64">
        <v>1000</v>
      </c>
      <c r="N77" s="64">
        <v>1000</v>
      </c>
      <c r="O77" s="61">
        <v>337</v>
      </c>
      <c r="P77" s="80">
        <v>1.0500000000000001E-2</v>
      </c>
      <c r="Q77" s="80">
        <v>0.2064</v>
      </c>
      <c r="R77" s="86">
        <f t="shared" si="22"/>
        <v>9.7180668153158537E-4</v>
      </c>
      <c r="S77" s="86">
        <f t="shared" si="23"/>
        <v>0</v>
      </c>
      <c r="T77" s="86">
        <f t="shared" si="24"/>
        <v>0</v>
      </c>
      <c r="U77" s="87">
        <f t="shared" si="25"/>
        <v>-2.9999999999999992E-4</v>
      </c>
      <c r="V77" s="88">
        <f t="shared" si="26"/>
        <v>-2.9999999999999472E-4</v>
      </c>
    </row>
    <row r="78" spans="1:22">
      <c r="A78" s="167">
        <v>67</v>
      </c>
      <c r="B78" s="160" t="s">
        <v>133</v>
      </c>
      <c r="C78" s="159" t="s">
        <v>76</v>
      </c>
      <c r="D78" s="58">
        <v>218867442.96000001</v>
      </c>
      <c r="E78" s="59">
        <f t="shared" si="27"/>
        <v>1.0086210590045687E-3</v>
      </c>
      <c r="F78" s="64">
        <v>1063.72</v>
      </c>
      <c r="G78" s="64">
        <v>1070.8599999999999</v>
      </c>
      <c r="H78" s="61">
        <v>74</v>
      </c>
      <c r="I78" s="80">
        <v>7.9000000000000008E-3</v>
      </c>
      <c r="J78" s="80">
        <v>6.2899999999999998E-2</v>
      </c>
      <c r="K78" s="58">
        <v>209634345.56</v>
      </c>
      <c r="L78" s="59">
        <f t="shared" si="21"/>
        <v>9.8628411425033752E-4</v>
      </c>
      <c r="M78" s="64">
        <v>1062.94</v>
      </c>
      <c r="N78" s="64">
        <v>1070.98</v>
      </c>
      <c r="O78" s="61">
        <v>74</v>
      </c>
      <c r="P78" s="80">
        <v>-2.9999999999999997E-4</v>
      </c>
      <c r="Q78" s="80">
        <v>6.2600000000000003E-2</v>
      </c>
      <c r="R78" s="86">
        <f t="shared" si="22"/>
        <v>-4.2185796458029792E-2</v>
      </c>
      <c r="S78" s="86">
        <f t="shared" si="23"/>
        <v>1.1205946622351965E-4</v>
      </c>
      <c r="T78" s="86">
        <f t="shared" si="24"/>
        <v>0</v>
      </c>
      <c r="U78" s="87">
        <f t="shared" si="25"/>
        <v>-8.2000000000000007E-3</v>
      </c>
      <c r="V78" s="88">
        <f t="shared" si="26"/>
        <v>-2.9999999999999472E-4</v>
      </c>
    </row>
    <row r="79" spans="1:22">
      <c r="A79" s="167">
        <v>68</v>
      </c>
      <c r="B79" s="160" t="s">
        <v>134</v>
      </c>
      <c r="C79" s="159" t="s">
        <v>79</v>
      </c>
      <c r="D79" s="58">
        <v>979142149.65999997</v>
      </c>
      <c r="E79" s="59">
        <f t="shared" si="27"/>
        <v>4.5122443911704531E-3</v>
      </c>
      <c r="F79" s="91">
        <v>1.1669</v>
      </c>
      <c r="G79" s="91">
        <v>1.1669</v>
      </c>
      <c r="H79" s="61">
        <v>42</v>
      </c>
      <c r="I79" s="80">
        <v>1.8890000000000001E-3</v>
      </c>
      <c r="J79" s="80">
        <v>0.1215</v>
      </c>
      <c r="K79" s="58">
        <v>982015531.27999997</v>
      </c>
      <c r="L79" s="59">
        <f t="shared" si="21"/>
        <v>4.6201700196657862E-3</v>
      </c>
      <c r="M79" s="91">
        <v>1.1480999999999999</v>
      </c>
      <c r="N79" s="91">
        <v>1.1480999999999999</v>
      </c>
      <c r="O79" s="61">
        <v>43</v>
      </c>
      <c r="P79" s="80">
        <v>1.884E-3</v>
      </c>
      <c r="Q79" s="80">
        <v>0.12189999999999999</v>
      </c>
      <c r="R79" s="86">
        <f t="shared" si="22"/>
        <v>2.9345908773284511E-3</v>
      </c>
      <c r="S79" s="86">
        <f t="shared" si="23"/>
        <v>-1.6111063501585525E-2</v>
      </c>
      <c r="T79" s="86">
        <f t="shared" si="24"/>
        <v>2.3809523809523808E-2</v>
      </c>
      <c r="U79" s="87">
        <f t="shared" si="25"/>
        <v>-5.0000000000000131E-6</v>
      </c>
      <c r="V79" s="88">
        <f t="shared" si="26"/>
        <v>3.9999999999999758E-4</v>
      </c>
    </row>
    <row r="80" spans="1:22">
      <c r="A80" s="167">
        <v>69</v>
      </c>
      <c r="B80" s="160" t="s">
        <v>135</v>
      </c>
      <c r="C80" s="159" t="s">
        <v>34</v>
      </c>
      <c r="D80" s="58">
        <v>25220484822.349998</v>
      </c>
      <c r="E80" s="59">
        <f t="shared" si="27"/>
        <v>0.11622519898848689</v>
      </c>
      <c r="F80" s="91">
        <v>1683.68</v>
      </c>
      <c r="G80" s="91">
        <v>1683.68</v>
      </c>
      <c r="H80" s="61">
        <v>2255</v>
      </c>
      <c r="I80" s="80">
        <v>1.6000000000000001E-3</v>
      </c>
      <c r="J80" s="80">
        <v>8.8099999999999998E-2</v>
      </c>
      <c r="K80" s="58">
        <v>24531329709.849998</v>
      </c>
      <c r="L80" s="59">
        <f t="shared" si="21"/>
        <v>0.11541458404456689</v>
      </c>
      <c r="M80" s="91">
        <v>1685.68</v>
      </c>
      <c r="N80" s="91">
        <v>1685.68</v>
      </c>
      <c r="O80" s="61">
        <v>2245</v>
      </c>
      <c r="P80" s="80">
        <v>1.1999999999999999E-3</v>
      </c>
      <c r="Q80" s="80">
        <v>8.9399999999999993E-2</v>
      </c>
      <c r="R80" s="86">
        <f t="shared" si="22"/>
        <v>-2.7325212713170427E-2</v>
      </c>
      <c r="S80" s="86">
        <f t="shared" si="23"/>
        <v>1.1878741803668155E-3</v>
      </c>
      <c r="T80" s="86">
        <f t="shared" si="24"/>
        <v>-4.434589800443459E-3</v>
      </c>
      <c r="U80" s="87">
        <f t="shared" si="25"/>
        <v>-4.0000000000000018E-4</v>
      </c>
      <c r="V80" s="88">
        <f t="shared" si="26"/>
        <v>1.2999999999999956E-3</v>
      </c>
    </row>
    <row r="81" spans="1:22">
      <c r="A81" s="167">
        <v>70</v>
      </c>
      <c r="B81" s="160" t="s">
        <v>136</v>
      </c>
      <c r="C81" s="159" t="s">
        <v>84</v>
      </c>
      <c r="D81" s="58">
        <v>23070080.969999999</v>
      </c>
      <c r="E81" s="59">
        <f t="shared" si="27"/>
        <v>1.0631535318633553E-4</v>
      </c>
      <c r="F81" s="90">
        <v>0.7036</v>
      </c>
      <c r="G81" s="90">
        <v>0.7036</v>
      </c>
      <c r="H81" s="61">
        <v>746</v>
      </c>
      <c r="I81" s="80">
        <v>-0.01</v>
      </c>
      <c r="J81" s="80">
        <v>-7.9500000000000001E-2</v>
      </c>
      <c r="K81" s="58">
        <v>23104287.010000002</v>
      </c>
      <c r="L81" s="59">
        <f t="shared" si="21"/>
        <v>1.0870065774847659E-4</v>
      </c>
      <c r="M81" s="90">
        <v>0.7046</v>
      </c>
      <c r="N81" s="90">
        <v>0.7046</v>
      </c>
      <c r="O81" s="61">
        <v>746</v>
      </c>
      <c r="P81" s="80">
        <v>1.4212620807276899E-3</v>
      </c>
      <c r="Q81" s="80">
        <v>-7.8231292517006806E-2</v>
      </c>
      <c r="R81" s="86">
        <f t="shared" si="22"/>
        <v>1.4827013413816741E-3</v>
      </c>
      <c r="S81" s="86">
        <f t="shared" si="23"/>
        <v>1.4212620807276875E-3</v>
      </c>
      <c r="T81" s="86">
        <f t="shared" si="24"/>
        <v>0</v>
      </c>
      <c r="U81" s="87">
        <f t="shared" si="25"/>
        <v>1.142126208072769E-2</v>
      </c>
      <c r="V81" s="88">
        <f t="shared" si="26"/>
        <v>1.2687074829931949E-3</v>
      </c>
    </row>
    <row r="82" spans="1:22">
      <c r="A82" s="167">
        <v>71</v>
      </c>
      <c r="B82" s="160" t="s">
        <v>137</v>
      </c>
      <c r="C82" s="159" t="s">
        <v>40</v>
      </c>
      <c r="D82" s="58">
        <v>10505945745.639999</v>
      </c>
      <c r="E82" s="59">
        <f t="shared" si="27"/>
        <v>4.8415232437053549E-2</v>
      </c>
      <c r="F82" s="90">
        <v>1</v>
      </c>
      <c r="G82" s="90">
        <v>1</v>
      </c>
      <c r="H82" s="61">
        <v>5244</v>
      </c>
      <c r="I82" s="80">
        <v>0.06</v>
      </c>
      <c r="J82" s="80">
        <v>0.06</v>
      </c>
      <c r="K82" s="58">
        <v>10526877709.709999</v>
      </c>
      <c r="L82" s="59">
        <f t="shared" si="21"/>
        <v>4.9526675745846946E-2</v>
      </c>
      <c r="M82" s="90">
        <v>1</v>
      </c>
      <c r="N82" s="90">
        <v>1</v>
      </c>
      <c r="O82" s="61">
        <v>5244</v>
      </c>
      <c r="P82" s="80">
        <v>0.06</v>
      </c>
      <c r="Q82" s="80">
        <v>0.06</v>
      </c>
      <c r="R82" s="86">
        <f t="shared" si="22"/>
        <v>1.9923921726596127E-3</v>
      </c>
      <c r="S82" s="86">
        <f t="shared" si="23"/>
        <v>0</v>
      </c>
      <c r="T82" s="86">
        <f t="shared" si="24"/>
        <v>0</v>
      </c>
      <c r="U82" s="87">
        <f t="shared" si="25"/>
        <v>0</v>
      </c>
      <c r="V82" s="88">
        <f t="shared" si="26"/>
        <v>0</v>
      </c>
    </row>
    <row r="83" spans="1:22">
      <c r="A83" s="167">
        <v>72</v>
      </c>
      <c r="B83" s="160" t="s">
        <v>138</v>
      </c>
      <c r="C83" s="159" t="s">
        <v>139</v>
      </c>
      <c r="D83" s="58">
        <v>1184261399.03</v>
      </c>
      <c r="E83" s="59">
        <f t="shared" si="27"/>
        <v>5.4575087563213821E-3</v>
      </c>
      <c r="F83" s="58">
        <v>233.56</v>
      </c>
      <c r="G83" s="58">
        <v>233.56</v>
      </c>
      <c r="H83" s="61">
        <v>491</v>
      </c>
      <c r="I83" s="80">
        <v>3.8E-3</v>
      </c>
      <c r="J83" s="80">
        <v>0.17810000000000001</v>
      </c>
      <c r="K83" s="58">
        <v>1105059746.0799999</v>
      </c>
      <c r="L83" s="59">
        <f t="shared" si="21"/>
        <v>5.1990663550132423E-3</v>
      </c>
      <c r="M83" s="58">
        <v>230.8</v>
      </c>
      <c r="N83" s="58">
        <v>233.00040000000001</v>
      </c>
      <c r="O83" s="61">
        <v>491</v>
      </c>
      <c r="P83" s="80">
        <v>0.17810000000000001</v>
      </c>
      <c r="Q83" s="80">
        <v>0.17810000000000001</v>
      </c>
      <c r="R83" s="86">
        <f t="shared" si="22"/>
        <v>-6.687852277788689E-2</v>
      </c>
      <c r="S83" s="86">
        <f t="shared" si="23"/>
        <v>-2.3959582120225593E-3</v>
      </c>
      <c r="T83" s="86">
        <f t="shared" si="24"/>
        <v>0</v>
      </c>
      <c r="U83" s="87">
        <f t="shared" si="25"/>
        <v>0.17430000000000001</v>
      </c>
      <c r="V83" s="88">
        <f t="shared" si="26"/>
        <v>0</v>
      </c>
    </row>
    <row r="84" spans="1:22">
      <c r="A84" s="167">
        <v>73</v>
      </c>
      <c r="B84" s="160" t="s">
        <v>140</v>
      </c>
      <c r="C84" s="159" t="s">
        <v>44</v>
      </c>
      <c r="D84" s="58">
        <v>1065606298.79</v>
      </c>
      <c r="E84" s="59">
        <f t="shared" si="27"/>
        <v>4.9107027478908164E-3</v>
      </c>
      <c r="F84" s="90">
        <v>3.56</v>
      </c>
      <c r="G84" s="90">
        <v>3.56</v>
      </c>
      <c r="H84" s="76">
        <v>770</v>
      </c>
      <c r="I84" s="83">
        <v>1.6999999999999999E-3</v>
      </c>
      <c r="J84" s="83">
        <v>-8.0000000000000002E-3</v>
      </c>
      <c r="K84" s="58">
        <v>1067444668.9</v>
      </c>
      <c r="L84" s="59">
        <f t="shared" si="21"/>
        <v>5.0220955777303946E-3</v>
      </c>
      <c r="M84" s="90">
        <v>3.56</v>
      </c>
      <c r="N84" s="90">
        <v>3.56</v>
      </c>
      <c r="O84" s="76">
        <v>770</v>
      </c>
      <c r="P84" s="83">
        <v>1.6999999999999999E-3</v>
      </c>
      <c r="Q84" s="83">
        <v>-5.7999999999999996E-3</v>
      </c>
      <c r="R84" s="86">
        <f t="shared" si="22"/>
        <v>1.7251869776741097E-3</v>
      </c>
      <c r="S84" s="86">
        <f t="shared" si="23"/>
        <v>0</v>
      </c>
      <c r="T84" s="86">
        <f t="shared" si="24"/>
        <v>0</v>
      </c>
      <c r="U84" s="87">
        <f t="shared" si="25"/>
        <v>0</v>
      </c>
      <c r="V84" s="88">
        <f t="shared" si="26"/>
        <v>2.2000000000000006E-3</v>
      </c>
    </row>
    <row r="85" spans="1:22">
      <c r="A85" s="167">
        <v>74</v>
      </c>
      <c r="B85" s="160" t="s">
        <v>141</v>
      </c>
      <c r="C85" s="159" t="s">
        <v>46</v>
      </c>
      <c r="D85" s="58">
        <v>547147914.72000003</v>
      </c>
      <c r="E85" s="59">
        <f t="shared" si="27"/>
        <v>2.5214572880896046E-3</v>
      </c>
      <c r="F85" s="90">
        <v>108.95</v>
      </c>
      <c r="G85" s="90">
        <v>108.95</v>
      </c>
      <c r="H85" s="76">
        <v>59</v>
      </c>
      <c r="I85" s="83">
        <v>0.14299999999999999</v>
      </c>
      <c r="J85" s="83">
        <v>0.1666</v>
      </c>
      <c r="K85" s="58">
        <v>548624472.78999996</v>
      </c>
      <c r="L85" s="59">
        <f t="shared" si="21"/>
        <v>2.5811591166337482E-3</v>
      </c>
      <c r="M85" s="90">
        <v>109.25</v>
      </c>
      <c r="N85" s="90">
        <v>109.25</v>
      </c>
      <c r="O85" s="76">
        <v>59</v>
      </c>
      <c r="P85" s="83">
        <v>0.1474</v>
      </c>
      <c r="Q85" s="83">
        <v>0.1709</v>
      </c>
      <c r="R85" s="86">
        <f t="shared" si="22"/>
        <v>2.698645156594545E-3</v>
      </c>
      <c r="S85" s="86">
        <f t="shared" si="23"/>
        <v>2.7535566773749165E-3</v>
      </c>
      <c r="T85" s="86">
        <f t="shared" si="24"/>
        <v>0</v>
      </c>
      <c r="U85" s="87">
        <f t="shared" si="25"/>
        <v>4.400000000000015E-3</v>
      </c>
      <c r="V85" s="88">
        <f t="shared" si="26"/>
        <v>4.2999999999999983E-3</v>
      </c>
    </row>
    <row r="86" spans="1:22">
      <c r="A86" s="167">
        <v>75</v>
      </c>
      <c r="B86" s="159" t="s">
        <v>142</v>
      </c>
      <c r="C86" s="161" t="s">
        <v>50</v>
      </c>
      <c r="D86" s="58">
        <v>1769397084.75</v>
      </c>
      <c r="E86" s="59">
        <f t="shared" si="27"/>
        <v>8.1540275578871838E-3</v>
      </c>
      <c r="F86" s="90">
        <v>100.2</v>
      </c>
      <c r="G86" s="90">
        <v>100.2</v>
      </c>
      <c r="H86" s="61">
        <v>139</v>
      </c>
      <c r="I86" s="80">
        <v>2.5000000000000001E-3</v>
      </c>
      <c r="J86" s="80">
        <v>9.0399999999999994E-2</v>
      </c>
      <c r="K86" s="58">
        <v>1776827079.4100001</v>
      </c>
      <c r="L86" s="59">
        <f t="shared" si="21"/>
        <v>8.3595859137992785E-3</v>
      </c>
      <c r="M86" s="90">
        <v>101.06</v>
      </c>
      <c r="N86" s="90">
        <v>101.06</v>
      </c>
      <c r="O86" s="61">
        <v>139</v>
      </c>
      <c r="P86" s="80">
        <v>2.5000000000000001E-3</v>
      </c>
      <c r="Q86" s="80">
        <v>9.2799999999999994E-2</v>
      </c>
      <c r="R86" s="86">
        <f t="shared" si="22"/>
        <v>4.1991674588126035E-3</v>
      </c>
      <c r="S86" s="86">
        <f t="shared" si="23"/>
        <v>8.5828343313373197E-3</v>
      </c>
      <c r="T86" s="86">
        <f t="shared" si="24"/>
        <v>0</v>
      </c>
      <c r="U86" s="87">
        <f t="shared" si="25"/>
        <v>0</v>
      </c>
      <c r="V86" s="88">
        <f t="shared" si="26"/>
        <v>2.3999999999999994E-3</v>
      </c>
    </row>
    <row r="87" spans="1:22">
      <c r="A87" s="167">
        <v>76</v>
      </c>
      <c r="B87" s="160" t="s">
        <v>143</v>
      </c>
      <c r="C87" s="159" t="s">
        <v>22</v>
      </c>
      <c r="D87" s="58">
        <v>1324036009.3199999</v>
      </c>
      <c r="E87" s="59">
        <f t="shared" si="27"/>
        <v>6.101641175223064E-3</v>
      </c>
      <c r="F87" s="90">
        <v>347.03429999999997</v>
      </c>
      <c r="G87" s="90">
        <v>347.03429999999997</v>
      </c>
      <c r="H87" s="61">
        <v>196</v>
      </c>
      <c r="I87" s="80">
        <v>2.5999999999999999E-3</v>
      </c>
      <c r="J87" s="80">
        <v>9.5299999999999996E-2</v>
      </c>
      <c r="K87" s="58">
        <v>1327992794.3199999</v>
      </c>
      <c r="L87" s="59">
        <f t="shared" si="21"/>
        <v>6.2479179801281978E-3</v>
      </c>
      <c r="M87" s="90">
        <v>347.93689999999998</v>
      </c>
      <c r="N87" s="90">
        <v>347.93689999999998</v>
      </c>
      <c r="O87" s="61">
        <v>105</v>
      </c>
      <c r="P87" s="80">
        <v>2.5999999999999999E-3</v>
      </c>
      <c r="Q87" s="165">
        <v>9.7900000000000001E-2</v>
      </c>
      <c r="R87" s="86">
        <f t="shared" si="22"/>
        <v>2.9884270307966401E-3</v>
      </c>
      <c r="S87" s="86">
        <f t="shared" si="23"/>
        <v>2.6008956463381481E-3</v>
      </c>
      <c r="T87" s="86">
        <f t="shared" si="24"/>
        <v>-0.4642857142857143</v>
      </c>
      <c r="U87" s="87">
        <f t="shared" si="25"/>
        <v>0</v>
      </c>
      <c r="V87" s="88">
        <f t="shared" si="26"/>
        <v>2.6000000000000051E-3</v>
      </c>
    </row>
    <row r="88" spans="1:22">
      <c r="A88" s="167">
        <v>77</v>
      </c>
      <c r="B88" s="160" t="s">
        <v>144</v>
      </c>
      <c r="C88" s="159" t="s">
        <v>93</v>
      </c>
      <c r="D88" s="74">
        <v>1466252060.5699999</v>
      </c>
      <c r="E88" s="59">
        <f>(D88/$K$63)</f>
        <v>9.6189687652697671E-4</v>
      </c>
      <c r="F88" s="90">
        <v>101.92</v>
      </c>
      <c r="G88" s="90">
        <v>101.92</v>
      </c>
      <c r="H88" s="61">
        <v>380</v>
      </c>
      <c r="I88" s="80">
        <v>3.0000000000000001E-3</v>
      </c>
      <c r="J88" s="80">
        <v>0.1143</v>
      </c>
      <c r="K88" s="74">
        <v>1468069605.27</v>
      </c>
      <c r="L88" s="59">
        <f>(K88/$K$63)</f>
        <v>9.6308922988619285E-4</v>
      </c>
      <c r="M88" s="90">
        <v>102.2</v>
      </c>
      <c r="N88" s="90">
        <v>102.2</v>
      </c>
      <c r="O88" s="61">
        <v>380</v>
      </c>
      <c r="P88" s="80">
        <v>0.28000000000000003</v>
      </c>
      <c r="Q88" s="80">
        <v>0.1171</v>
      </c>
      <c r="R88" s="86">
        <f t="shared" si="22"/>
        <v>1.2395854361449178E-3</v>
      </c>
      <c r="S88" s="86">
        <f t="shared" si="23"/>
        <v>2.7472527472527583E-3</v>
      </c>
      <c r="T88" s="86">
        <f t="shared" si="24"/>
        <v>0</v>
      </c>
      <c r="U88" s="87">
        <f t="shared" si="25"/>
        <v>0.27700000000000002</v>
      </c>
      <c r="V88" s="88">
        <f t="shared" si="26"/>
        <v>2.7999999999999969E-3</v>
      </c>
    </row>
    <row r="89" spans="1:22">
      <c r="A89" s="167">
        <v>78</v>
      </c>
      <c r="B89" s="160" t="s">
        <v>145</v>
      </c>
      <c r="C89" s="159" t="s">
        <v>48</v>
      </c>
      <c r="D89" s="58">
        <v>57990481.640000001</v>
      </c>
      <c r="E89" s="59">
        <f t="shared" ref="E89:E101" si="28">(D89/$D$102)</f>
        <v>2.6724130465859852E-4</v>
      </c>
      <c r="F89" s="58">
        <v>12.053737</v>
      </c>
      <c r="G89" s="58">
        <v>12.319324</v>
      </c>
      <c r="H89" s="61">
        <v>56</v>
      </c>
      <c r="I89" s="80">
        <v>1.4E-3</v>
      </c>
      <c r="J89" s="80">
        <v>6.4000000000000003E-3</v>
      </c>
      <c r="K89" s="58">
        <v>58113901.649999999</v>
      </c>
      <c r="L89" s="59">
        <f t="shared" ref="L89:L101" si="29">(K89/$K$102)</f>
        <v>2.734132990535975E-4</v>
      </c>
      <c r="M89" s="58">
        <v>12.079122</v>
      </c>
      <c r="N89" s="58">
        <v>12.352161000000001</v>
      </c>
      <c r="O89" s="61">
        <v>56</v>
      </c>
      <c r="P89" s="80">
        <v>1.2999999999999999E-3</v>
      </c>
      <c r="Q89" s="80">
        <v>8.6999999999999994E-3</v>
      </c>
      <c r="R89" s="86">
        <f t="shared" si="22"/>
        <v>2.1282804782719153E-3</v>
      </c>
      <c r="S89" s="86">
        <f t="shared" si="23"/>
        <v>2.6654871647178589E-3</v>
      </c>
      <c r="T89" s="86">
        <f t="shared" si="24"/>
        <v>0</v>
      </c>
      <c r="U89" s="87">
        <f t="shared" si="25"/>
        <v>-1.0000000000000005E-4</v>
      </c>
      <c r="V89" s="88">
        <f t="shared" si="26"/>
        <v>2.2999999999999991E-3</v>
      </c>
    </row>
    <row r="90" spans="1:22">
      <c r="A90" s="167">
        <v>79</v>
      </c>
      <c r="B90" s="160" t="s">
        <v>146</v>
      </c>
      <c r="C90" s="159" t="s">
        <v>147</v>
      </c>
      <c r="D90" s="58">
        <v>324778617.5</v>
      </c>
      <c r="E90" s="59">
        <f t="shared" si="28"/>
        <v>1.4966984065544991E-3</v>
      </c>
      <c r="F90" s="58">
        <v>127.4</v>
      </c>
      <c r="G90" s="58">
        <v>127.4</v>
      </c>
      <c r="H90" s="61">
        <v>105</v>
      </c>
      <c r="I90" s="80">
        <v>0.17510000000000001</v>
      </c>
      <c r="J90" s="80">
        <v>0.16830000000000001</v>
      </c>
      <c r="K90" s="58">
        <v>342593678.05000001</v>
      </c>
      <c r="L90" s="59">
        <f t="shared" si="29"/>
        <v>1.6118289271764385E-3</v>
      </c>
      <c r="M90" s="58">
        <v>127.77</v>
      </c>
      <c r="N90" s="58">
        <v>127.77</v>
      </c>
      <c r="O90" s="61">
        <v>107</v>
      </c>
      <c r="P90" s="80">
        <v>0.1605</v>
      </c>
      <c r="Q90" s="80">
        <v>0.16819999999999999</v>
      </c>
      <c r="R90" s="86">
        <f t="shared" si="22"/>
        <v>5.4852935476886841E-2</v>
      </c>
      <c r="S90" s="86">
        <f t="shared" si="23"/>
        <v>2.9042386185242569E-3</v>
      </c>
      <c r="T90" s="86">
        <f t="shared" si="24"/>
        <v>1.9047619047619049E-2</v>
      </c>
      <c r="U90" s="87">
        <f t="shared" si="25"/>
        <v>-1.4600000000000002E-2</v>
      </c>
      <c r="V90" s="88">
        <f t="shared" si="26"/>
        <v>-1.0000000000001674E-4</v>
      </c>
    </row>
    <row r="91" spans="1:22">
      <c r="A91" s="167">
        <v>80</v>
      </c>
      <c r="B91" s="160" t="s">
        <v>148</v>
      </c>
      <c r="C91" s="159" t="s">
        <v>149</v>
      </c>
      <c r="D91" s="58">
        <v>7632770200.7512102</v>
      </c>
      <c r="E91" s="59">
        <f t="shared" si="28"/>
        <v>3.5174590879773669E-2</v>
      </c>
      <c r="F91" s="58">
        <v>1.1086609999999999</v>
      </c>
      <c r="G91" s="58">
        <v>1.1086609999999999</v>
      </c>
      <c r="H91" s="61">
        <v>4385</v>
      </c>
      <c r="I91" s="80">
        <v>0.17030000000000001</v>
      </c>
      <c r="J91" s="80">
        <v>0.17030000000000001</v>
      </c>
      <c r="K91" s="58">
        <v>7572409360.8284178</v>
      </c>
      <c r="L91" s="59">
        <f t="shared" si="29"/>
        <v>3.5626543156536475E-2</v>
      </c>
      <c r="M91" s="58">
        <v>1.1130597484852107</v>
      </c>
      <c r="N91" s="58">
        <v>1.1130597484852107</v>
      </c>
      <c r="O91" s="61">
        <v>4391</v>
      </c>
      <c r="P91" s="80">
        <v>0.1704</v>
      </c>
      <c r="Q91" s="80">
        <v>0.1704</v>
      </c>
      <c r="R91" s="86">
        <f t="shared" si="22"/>
        <v>-7.9081170184911072E-3</v>
      </c>
      <c r="S91" s="86">
        <f t="shared" si="23"/>
        <v>3.9676226413762408E-3</v>
      </c>
      <c r="T91" s="86">
        <f t="shared" si="24"/>
        <v>1.3683010262257698E-3</v>
      </c>
      <c r="U91" s="87">
        <f t="shared" si="25"/>
        <v>9.9999999999988987E-5</v>
      </c>
      <c r="V91" s="88">
        <f t="shared" si="26"/>
        <v>9.9999999999988987E-5</v>
      </c>
    </row>
    <row r="92" spans="1:22" ht="14.25" customHeight="1">
      <c r="A92" s="167">
        <v>81</v>
      </c>
      <c r="B92" s="160" t="s">
        <v>150</v>
      </c>
      <c r="C92" s="159" t="s">
        <v>52</v>
      </c>
      <c r="D92" s="58">
        <v>16219140339.42</v>
      </c>
      <c r="E92" s="59">
        <f t="shared" si="28"/>
        <v>7.4743718316658311E-2</v>
      </c>
      <c r="F92" s="58">
        <v>5166.04</v>
      </c>
      <c r="G92" s="58">
        <v>5166.04</v>
      </c>
      <c r="H92" s="61">
        <v>311</v>
      </c>
      <c r="I92" s="80">
        <v>0</v>
      </c>
      <c r="J92" s="80">
        <v>3.0800000000000001E-2</v>
      </c>
      <c r="K92" s="58">
        <v>11214202692.32</v>
      </c>
      <c r="L92" s="59">
        <f t="shared" si="29"/>
        <v>5.2760390669156637E-2</v>
      </c>
      <c r="M92" s="58">
        <v>5166.26</v>
      </c>
      <c r="N92" s="58">
        <v>5166.26</v>
      </c>
      <c r="O92" s="61">
        <v>311</v>
      </c>
      <c r="P92" s="80">
        <v>0</v>
      </c>
      <c r="Q92" s="80">
        <v>3.0800000000000001E-2</v>
      </c>
      <c r="R92" s="86">
        <f t="shared" si="22"/>
        <v>-0.30858217774561647</v>
      </c>
      <c r="S92" s="86">
        <f t="shared" si="23"/>
        <v>4.2585810408021356E-5</v>
      </c>
      <c r="T92" s="86">
        <f t="shared" si="24"/>
        <v>0</v>
      </c>
      <c r="U92" s="87">
        <f t="shared" si="25"/>
        <v>0</v>
      </c>
      <c r="V92" s="88">
        <f t="shared" si="26"/>
        <v>0</v>
      </c>
    </row>
    <row r="93" spans="1:22" ht="13.5" customHeight="1">
      <c r="A93" s="167">
        <v>82</v>
      </c>
      <c r="B93" s="160" t="s">
        <v>151</v>
      </c>
      <c r="C93" s="159" t="s">
        <v>52</v>
      </c>
      <c r="D93" s="58">
        <v>24578153383.310001</v>
      </c>
      <c r="E93" s="59">
        <f t="shared" si="28"/>
        <v>0.11326510128041958</v>
      </c>
      <c r="F93" s="90">
        <v>258.45</v>
      </c>
      <c r="G93" s="90">
        <v>258.45</v>
      </c>
      <c r="H93" s="61">
        <v>6401</v>
      </c>
      <c r="I93" s="80">
        <v>0</v>
      </c>
      <c r="J93" s="80">
        <v>1.03E-2</v>
      </c>
      <c r="K93" s="58">
        <v>24498200372.439999</v>
      </c>
      <c r="L93" s="59">
        <f t="shared" si="29"/>
        <v>0.11525871769968987</v>
      </c>
      <c r="M93" s="90">
        <v>258.45999999999998</v>
      </c>
      <c r="N93" s="90">
        <v>258.45999999999998</v>
      </c>
      <c r="O93" s="61">
        <v>6395</v>
      </c>
      <c r="P93" s="80">
        <v>0</v>
      </c>
      <c r="Q93" s="80">
        <v>1.04E-2</v>
      </c>
      <c r="R93" s="86">
        <f t="shared" si="22"/>
        <v>-3.2530113073627209E-3</v>
      </c>
      <c r="S93" s="86">
        <f t="shared" si="23"/>
        <v>3.8692203520955332E-5</v>
      </c>
      <c r="T93" s="86">
        <f t="shared" si="24"/>
        <v>-9.3735353850960793E-4</v>
      </c>
      <c r="U93" s="87">
        <f t="shared" si="25"/>
        <v>0</v>
      </c>
      <c r="V93" s="88">
        <f t="shared" si="26"/>
        <v>9.9999999999999395E-5</v>
      </c>
    </row>
    <row r="94" spans="1:22" ht="13.5" customHeight="1">
      <c r="A94" s="167">
        <v>83</v>
      </c>
      <c r="B94" s="160" t="s">
        <v>152</v>
      </c>
      <c r="C94" s="159" t="s">
        <v>52</v>
      </c>
      <c r="D94" s="58">
        <v>374055300.89999998</v>
      </c>
      <c r="E94" s="59">
        <f t="shared" si="28"/>
        <v>1.7237833485768E-3</v>
      </c>
      <c r="F94" s="90">
        <v>6480.22</v>
      </c>
      <c r="G94" s="90">
        <v>6512.14</v>
      </c>
      <c r="H94" s="61">
        <v>15</v>
      </c>
      <c r="I94" s="80">
        <v>2.5000000000000001E-3</v>
      </c>
      <c r="J94" s="80">
        <v>0.2215</v>
      </c>
      <c r="K94" s="58">
        <v>375775574.06999999</v>
      </c>
      <c r="L94" s="59">
        <f t="shared" si="29"/>
        <v>1.7679425489105531E-3</v>
      </c>
      <c r="M94" s="90">
        <v>6514.91</v>
      </c>
      <c r="N94" s="90">
        <v>6547.31</v>
      </c>
      <c r="O94" s="61">
        <v>15</v>
      </c>
      <c r="P94" s="80">
        <v>9.5999999999999992E-3</v>
      </c>
      <c r="Q94" s="80">
        <v>0.23319999999999999</v>
      </c>
      <c r="R94" s="86">
        <f t="shared" si="22"/>
        <v>4.598980861548905E-3</v>
      </c>
      <c r="S94" s="86">
        <f t="shared" si="23"/>
        <v>5.4006824177612999E-3</v>
      </c>
      <c r="T94" s="86">
        <f t="shared" si="24"/>
        <v>0</v>
      </c>
      <c r="U94" s="87">
        <f t="shared" si="25"/>
        <v>7.0999999999999987E-3</v>
      </c>
      <c r="V94" s="88">
        <f t="shared" si="26"/>
        <v>1.1699999999999988E-2</v>
      </c>
    </row>
    <row r="95" spans="1:22" ht="15" customHeight="1">
      <c r="A95" s="167">
        <v>84</v>
      </c>
      <c r="B95" s="160" t="s">
        <v>153</v>
      </c>
      <c r="C95" s="159" t="s">
        <v>52</v>
      </c>
      <c r="D95" s="58">
        <v>9784758053.4799995</v>
      </c>
      <c r="E95" s="59">
        <f t="shared" si="28"/>
        <v>4.5091736333796109E-2</v>
      </c>
      <c r="F95" s="90">
        <v>136.19999999999999</v>
      </c>
      <c r="G95" s="90">
        <v>136.19999999999999</v>
      </c>
      <c r="H95" s="61">
        <v>4471</v>
      </c>
      <c r="I95" s="80">
        <v>8.9999999999999998E-4</v>
      </c>
      <c r="J95" s="80">
        <v>8.1600000000000006E-2</v>
      </c>
      <c r="K95" s="58">
        <v>9758909060.7800007</v>
      </c>
      <c r="L95" s="59">
        <f t="shared" si="29"/>
        <v>4.5913549868698326E-2</v>
      </c>
      <c r="M95" s="90">
        <v>136.34</v>
      </c>
      <c r="N95" s="90">
        <v>136.34</v>
      </c>
      <c r="O95" s="61">
        <v>4480</v>
      </c>
      <c r="P95" s="80">
        <v>1E-3</v>
      </c>
      <c r="Q95" s="80">
        <v>8.2799999999999999E-2</v>
      </c>
      <c r="R95" s="86">
        <f t="shared" si="22"/>
        <v>-2.6417610490435711E-3</v>
      </c>
      <c r="S95" s="86">
        <f t="shared" si="23"/>
        <v>1.0279001468429868E-3</v>
      </c>
      <c r="T95" s="86">
        <f t="shared" si="24"/>
        <v>2.0129724893759786E-3</v>
      </c>
      <c r="U95" s="87">
        <f t="shared" si="25"/>
        <v>1.0000000000000005E-4</v>
      </c>
      <c r="V95" s="88">
        <f t="shared" si="26"/>
        <v>1.1999999999999927E-3</v>
      </c>
    </row>
    <row r="96" spans="1:22" ht="15" customHeight="1">
      <c r="A96" s="167">
        <v>85</v>
      </c>
      <c r="B96" s="160" t="s">
        <v>154</v>
      </c>
      <c r="C96" s="159" t="s">
        <v>52</v>
      </c>
      <c r="D96" s="58">
        <v>8300203327.1000004</v>
      </c>
      <c r="E96" s="59">
        <f t="shared" si="28"/>
        <v>3.8250366324528502E-2</v>
      </c>
      <c r="F96" s="90">
        <v>358.02</v>
      </c>
      <c r="G96" s="90">
        <v>358.51</v>
      </c>
      <c r="H96" s="61">
        <v>10202</v>
      </c>
      <c r="I96" s="80">
        <v>1.6000000000000001E-3</v>
      </c>
      <c r="J96" s="80">
        <v>1.46E-2</v>
      </c>
      <c r="K96" s="58">
        <v>8325607106.7299995</v>
      </c>
      <c r="L96" s="59">
        <f t="shared" si="29"/>
        <v>3.9170175139585144E-2</v>
      </c>
      <c r="M96" s="90">
        <v>358.54</v>
      </c>
      <c r="N96" s="90">
        <v>359.05</v>
      </c>
      <c r="O96" s="61">
        <v>10194</v>
      </c>
      <c r="P96" s="80">
        <v>1.5E-3</v>
      </c>
      <c r="Q96" s="80">
        <v>1.61E-2</v>
      </c>
      <c r="R96" s="86">
        <f t="shared" si="22"/>
        <v>3.0606213641846966E-3</v>
      </c>
      <c r="S96" s="86">
        <f t="shared" si="23"/>
        <v>1.5062341357284887E-3</v>
      </c>
      <c r="T96" s="86">
        <f t="shared" si="24"/>
        <v>-7.8415996863360126E-4</v>
      </c>
      <c r="U96" s="87">
        <f t="shared" si="25"/>
        <v>-1.0000000000000005E-4</v>
      </c>
      <c r="V96" s="88">
        <f t="shared" si="26"/>
        <v>1.4999999999999996E-3</v>
      </c>
    </row>
    <row r="97" spans="1:28">
      <c r="A97" s="167">
        <v>86</v>
      </c>
      <c r="B97" s="160" t="s">
        <v>155</v>
      </c>
      <c r="C97" s="159" t="s">
        <v>55</v>
      </c>
      <c r="D97" s="58">
        <v>86951441578.25</v>
      </c>
      <c r="E97" s="59">
        <f t="shared" si="28"/>
        <v>0.40070397817301934</v>
      </c>
      <c r="F97" s="58">
        <v>1.9391</v>
      </c>
      <c r="G97" s="58">
        <v>1.9391</v>
      </c>
      <c r="H97" s="61">
        <v>6341</v>
      </c>
      <c r="I97" s="80">
        <v>7.8200000000000006E-2</v>
      </c>
      <c r="J97" s="80">
        <v>6.0299999999999999E-2</v>
      </c>
      <c r="K97" s="58">
        <v>87073008389.970001</v>
      </c>
      <c r="L97" s="59">
        <f t="shared" si="29"/>
        <v>0.40965961338827561</v>
      </c>
      <c r="M97" s="58">
        <v>1.9419</v>
      </c>
      <c r="N97" s="58">
        <v>1.9419</v>
      </c>
      <c r="O97" s="61">
        <v>6343</v>
      </c>
      <c r="P97" s="80">
        <v>7.8100000000000003E-2</v>
      </c>
      <c r="Q97" s="80">
        <v>6.0600000000000001E-2</v>
      </c>
      <c r="R97" s="86">
        <f t="shared" si="22"/>
        <v>1.3981000143695134E-3</v>
      </c>
      <c r="S97" s="86">
        <f t="shared" si="23"/>
        <v>1.4439688515290154E-3</v>
      </c>
      <c r="T97" s="86">
        <f t="shared" si="24"/>
        <v>3.1540766440624505E-4</v>
      </c>
      <c r="U97" s="87">
        <f t="shared" si="25"/>
        <v>-1.0000000000000286E-4</v>
      </c>
      <c r="V97" s="88">
        <f t="shared" si="26"/>
        <v>3.0000000000000165E-4</v>
      </c>
    </row>
    <row r="98" spans="1:28">
      <c r="A98" s="167">
        <v>87</v>
      </c>
      <c r="B98" s="160" t="s">
        <v>156</v>
      </c>
      <c r="C98" s="159" t="s">
        <v>55</v>
      </c>
      <c r="D98" s="58">
        <v>6381782071.9200001</v>
      </c>
      <c r="E98" s="59">
        <f t="shared" si="28"/>
        <v>2.9409580998726721E-2</v>
      </c>
      <c r="F98" s="58">
        <v>105.25839999999999</v>
      </c>
      <c r="G98" s="58">
        <v>105.25839999999999</v>
      </c>
      <c r="H98" s="61">
        <v>126</v>
      </c>
      <c r="I98" s="80">
        <v>0.22120000000000001</v>
      </c>
      <c r="J98" s="80">
        <v>0.22020000000000001</v>
      </c>
      <c r="K98" s="58">
        <v>7709903729.3699999</v>
      </c>
      <c r="L98" s="59">
        <f t="shared" si="29"/>
        <v>3.6273424330178085E-2</v>
      </c>
      <c r="M98" s="58">
        <v>105.6383</v>
      </c>
      <c r="N98" s="58">
        <v>105.6383</v>
      </c>
      <c r="O98" s="61">
        <v>139</v>
      </c>
      <c r="P98" s="80">
        <v>0.20669999999999999</v>
      </c>
      <c r="Q98" s="80">
        <v>0.21920000000000001</v>
      </c>
      <c r="R98" s="86">
        <f t="shared" ref="R98:R100" si="30">((K98-D98)/D98)</f>
        <v>0.2081114087699372</v>
      </c>
      <c r="S98" s="86">
        <f t="shared" ref="S98:S100" si="31">((N98-G98)/G98)</f>
        <v>3.6092131364338273E-3</v>
      </c>
      <c r="T98" s="86">
        <f t="shared" ref="T98:T100" si="32">((O98-H98)/H98)</f>
        <v>0.10317460317460317</v>
      </c>
      <c r="U98" s="87">
        <f t="shared" ref="U98:U100" si="33">P98-I98</f>
        <v>-1.4500000000000013E-2</v>
      </c>
      <c r="V98" s="88">
        <f t="shared" ref="V98:V100" si="34">Q98-J98</f>
        <v>-1.0000000000000009E-3</v>
      </c>
    </row>
    <row r="99" spans="1:28">
      <c r="A99" s="167">
        <v>88</v>
      </c>
      <c r="B99" s="160" t="s">
        <v>157</v>
      </c>
      <c r="C99" s="160" t="s">
        <v>158</v>
      </c>
      <c r="D99" s="58">
        <v>88553370.549999997</v>
      </c>
      <c r="E99" s="59">
        <f t="shared" si="28"/>
        <v>4.0808625154399245E-4</v>
      </c>
      <c r="F99" s="58">
        <v>108.654435726722</v>
      </c>
      <c r="G99" s="58">
        <v>108.654435726722</v>
      </c>
      <c r="H99" s="92">
        <v>54</v>
      </c>
      <c r="I99" s="94">
        <v>1.66499863856393E-3</v>
      </c>
      <c r="J99" s="94">
        <v>6.9443948530218999E-2</v>
      </c>
      <c r="K99" s="58">
        <v>88700027.819999993</v>
      </c>
      <c r="L99" s="95">
        <f t="shared" si="29"/>
        <v>4.1731438681353927E-4</v>
      </c>
      <c r="M99" s="58">
        <v>108.834383286234</v>
      </c>
      <c r="N99" s="58">
        <v>108.834383286234</v>
      </c>
      <c r="O99" s="92">
        <v>54</v>
      </c>
      <c r="P99" s="94">
        <v>1.65614554351929E-3</v>
      </c>
      <c r="Q99" s="94">
        <v>7.1215103359621099E-2</v>
      </c>
      <c r="R99" s="86">
        <f t="shared" si="30"/>
        <v>1.6561455435193013E-3</v>
      </c>
      <c r="S99" s="86">
        <f t="shared" si="31"/>
        <v>1.6561455435154956E-3</v>
      </c>
      <c r="T99" s="86">
        <f t="shared" si="32"/>
        <v>0</v>
      </c>
      <c r="U99" s="87">
        <f t="shared" si="33"/>
        <v>-8.8530950446399827E-6</v>
      </c>
      <c r="V99" s="88">
        <f t="shared" si="34"/>
        <v>1.7711548294020996E-3</v>
      </c>
    </row>
    <row r="100" spans="1:28">
      <c r="A100" s="167">
        <v>89</v>
      </c>
      <c r="B100" s="160" t="s">
        <v>159</v>
      </c>
      <c r="C100" s="159" t="s">
        <v>114</v>
      </c>
      <c r="D100" s="58">
        <v>253489875.22999999</v>
      </c>
      <c r="E100" s="59">
        <f t="shared" si="28"/>
        <v>1.168173863337662E-3</v>
      </c>
      <c r="F100" s="58">
        <v>1.07</v>
      </c>
      <c r="G100" s="58">
        <v>1.07</v>
      </c>
      <c r="H100" s="61">
        <v>341</v>
      </c>
      <c r="I100" s="80">
        <v>6.3610000000000003E-3</v>
      </c>
      <c r="J100" s="80">
        <v>2.8000000000000001E-2</v>
      </c>
      <c r="K100" s="58">
        <v>252867787.03999999</v>
      </c>
      <c r="L100" s="59">
        <f t="shared" si="29"/>
        <v>1.1896880766220062E-3</v>
      </c>
      <c r="M100" s="58">
        <v>1.07</v>
      </c>
      <c r="N100" s="58">
        <v>1.07</v>
      </c>
      <c r="O100" s="61">
        <v>346</v>
      </c>
      <c r="P100" s="80">
        <v>-2.4139999999999999E-3</v>
      </c>
      <c r="Q100" s="80">
        <v>2.5517999999999999E-2</v>
      </c>
      <c r="R100" s="86">
        <f t="shared" si="30"/>
        <v>-2.4540948210872559E-3</v>
      </c>
      <c r="S100" s="86">
        <f t="shared" si="31"/>
        <v>0</v>
      </c>
      <c r="T100" s="86">
        <f t="shared" si="32"/>
        <v>1.466275659824047E-2</v>
      </c>
      <c r="U100" s="87">
        <f t="shared" si="33"/>
        <v>-8.7749999999999998E-3</v>
      </c>
      <c r="V100" s="88">
        <f t="shared" si="34"/>
        <v>-2.4820000000000016E-3</v>
      </c>
    </row>
    <row r="101" spans="1:28">
      <c r="A101" s="167">
        <v>90</v>
      </c>
      <c r="B101" s="160" t="s">
        <v>160</v>
      </c>
      <c r="C101" s="159" t="s">
        <v>116</v>
      </c>
      <c r="D101" s="58">
        <v>2339801811.9000001</v>
      </c>
      <c r="E101" s="59">
        <f t="shared" si="28"/>
        <v>1.0782660725883717E-2</v>
      </c>
      <c r="F101" s="90">
        <v>27.650400000000001</v>
      </c>
      <c r="G101" s="90">
        <v>27.650400000000001</v>
      </c>
      <c r="H101" s="61">
        <v>1301</v>
      </c>
      <c r="I101" s="80">
        <v>0.1183</v>
      </c>
      <c r="J101" s="80">
        <v>0.1183</v>
      </c>
      <c r="K101" s="58">
        <v>2336120067.7600002</v>
      </c>
      <c r="L101" s="59">
        <f t="shared" si="29"/>
        <v>1.0990938081535185E-2</v>
      </c>
      <c r="M101" s="90">
        <v>27.706199999999999</v>
      </c>
      <c r="N101" s="90">
        <v>27.706199999999999</v>
      </c>
      <c r="O101" s="61">
        <v>1300</v>
      </c>
      <c r="P101" s="80">
        <v>0.12709999999999999</v>
      </c>
      <c r="Q101" s="80">
        <v>0.12709999999999999</v>
      </c>
      <c r="R101" s="86">
        <f t="shared" si="22"/>
        <v>-1.5735282028054175E-3</v>
      </c>
      <c r="S101" s="86">
        <f t="shared" si="23"/>
        <v>2.0180539883689875E-3</v>
      </c>
      <c r="T101" s="86">
        <f t="shared" si="24"/>
        <v>-7.6863950807071484E-4</v>
      </c>
      <c r="U101" s="87">
        <f t="shared" si="25"/>
        <v>8.7999999999999884E-3</v>
      </c>
      <c r="V101" s="88">
        <f t="shared" si="26"/>
        <v>8.7999999999999884E-3</v>
      </c>
    </row>
    <row r="102" spans="1:28">
      <c r="A102" s="65"/>
      <c r="B102" s="66"/>
      <c r="C102" s="67" t="s">
        <v>56</v>
      </c>
      <c r="D102" s="78">
        <f>SUM(D66:D101)</f>
        <v>216996701591.78049</v>
      </c>
      <c r="E102" s="69">
        <f>(D102/$D$206)</f>
        <v>5.7772212107907832E-2</v>
      </c>
      <c r="F102" s="70"/>
      <c r="G102" s="75"/>
      <c r="H102" s="72">
        <f>SUM(H66:H101)</f>
        <v>50367</v>
      </c>
      <c r="I102" s="83"/>
      <c r="J102" s="83"/>
      <c r="K102" s="78">
        <f>SUM(K66:K101)</f>
        <v>212549652307.17569</v>
      </c>
      <c r="L102" s="69">
        <f>(K102/$K$206)</f>
        <v>5.6206216903047383E-2</v>
      </c>
      <c r="M102" s="70"/>
      <c r="N102" s="75"/>
      <c r="O102" s="72">
        <f>SUM(O66:O101)</f>
        <v>50317</v>
      </c>
      <c r="P102" s="83"/>
      <c r="Q102" s="83"/>
      <c r="R102" s="86">
        <f t="shared" si="22"/>
        <v>-2.0493626179492328E-2</v>
      </c>
      <c r="S102" s="86" t="e">
        <f t="shared" si="23"/>
        <v>#DIV/0!</v>
      </c>
      <c r="T102" s="86">
        <f t="shared" si="24"/>
        <v>-9.9271348303452654E-4</v>
      </c>
      <c r="U102" s="87">
        <f t="shared" si="25"/>
        <v>0</v>
      </c>
      <c r="V102" s="88">
        <f t="shared" si="26"/>
        <v>0</v>
      </c>
    </row>
    <row r="103" spans="1:28" ht="3.75" customHeight="1">
      <c r="A103" s="65"/>
      <c r="B103" s="172"/>
      <c r="C103" s="172"/>
      <c r="D103" s="172"/>
      <c r="E103" s="172"/>
      <c r="F103" s="172"/>
      <c r="G103" s="172"/>
      <c r="H103" s="172"/>
      <c r="I103" s="172"/>
      <c r="J103" s="172"/>
      <c r="K103" s="172"/>
      <c r="L103" s="172"/>
      <c r="M103" s="172"/>
      <c r="N103" s="172"/>
      <c r="O103" s="172"/>
      <c r="P103" s="172"/>
      <c r="Q103" s="172"/>
      <c r="R103" s="172"/>
      <c r="S103" s="172"/>
      <c r="T103" s="172"/>
      <c r="U103" s="172"/>
      <c r="V103" s="172"/>
    </row>
    <row r="104" spans="1:28" ht="15" customHeight="1">
      <c r="A104" s="176" t="s">
        <v>161</v>
      </c>
      <c r="B104" s="176"/>
      <c r="C104" s="176"/>
      <c r="D104" s="176"/>
      <c r="E104" s="176"/>
      <c r="F104" s="176"/>
      <c r="G104" s="176"/>
      <c r="H104" s="176"/>
      <c r="I104" s="176"/>
      <c r="J104" s="176"/>
      <c r="K104" s="176"/>
      <c r="L104" s="176"/>
      <c r="M104" s="176"/>
      <c r="N104" s="176"/>
      <c r="O104" s="176"/>
      <c r="P104" s="176"/>
      <c r="Q104" s="176"/>
      <c r="R104" s="176"/>
      <c r="S104" s="176"/>
      <c r="T104" s="176"/>
      <c r="U104" s="176"/>
      <c r="V104" s="176"/>
    </row>
    <row r="105" spans="1:28">
      <c r="A105" s="175" t="s">
        <v>162</v>
      </c>
      <c r="B105" s="175"/>
      <c r="C105" s="175"/>
      <c r="D105" s="175"/>
      <c r="E105" s="175"/>
      <c r="F105" s="175"/>
      <c r="G105" s="175"/>
      <c r="H105" s="175"/>
      <c r="I105" s="175"/>
      <c r="J105" s="175"/>
      <c r="K105" s="175"/>
      <c r="L105" s="175"/>
      <c r="M105" s="175"/>
      <c r="N105" s="175"/>
      <c r="O105" s="175"/>
      <c r="P105" s="175"/>
      <c r="Q105" s="175"/>
      <c r="R105" s="175"/>
      <c r="S105" s="175"/>
      <c r="T105" s="175"/>
      <c r="U105" s="175"/>
      <c r="V105" s="175"/>
      <c r="Z105" s="97"/>
      <c r="AB105" s="100"/>
    </row>
    <row r="106" spans="1:28" ht="16.5" customHeight="1">
      <c r="A106" s="167">
        <v>91</v>
      </c>
      <c r="B106" s="160" t="s">
        <v>163</v>
      </c>
      <c r="C106" s="159" t="s">
        <v>22</v>
      </c>
      <c r="D106" s="58">
        <v>2892628744.8499999</v>
      </c>
      <c r="E106" s="59">
        <f>(D106/$D$136)</f>
        <v>1.6190486158239575E-3</v>
      </c>
      <c r="F106" s="58">
        <f>111.0118*1666.413</f>
        <v>184991.5066734</v>
      </c>
      <c r="G106" s="58">
        <f>111.0118*1666.413</f>
        <v>184991.5066734</v>
      </c>
      <c r="H106" s="61">
        <v>287</v>
      </c>
      <c r="I106" s="80">
        <v>-5.9999999999999995E-4</v>
      </c>
      <c r="J106" s="80">
        <v>4.7899999999999998E-2</v>
      </c>
      <c r="K106" s="58">
        <v>2887690225.4099998</v>
      </c>
      <c r="L106" s="59">
        <f t="shared" ref="L106:L118" si="35">(K106/$K$136)</f>
        <v>1.5988760549970195E-3</v>
      </c>
      <c r="M106" s="58">
        <f>111.138*1655.882</f>
        <v>184031.41371600001</v>
      </c>
      <c r="N106" s="58">
        <f>111.138*1655.882</f>
        <v>184031.41371600001</v>
      </c>
      <c r="O106" s="61">
        <v>251</v>
      </c>
      <c r="P106" s="80">
        <v>1.1000000000000001E-3</v>
      </c>
      <c r="Q106" s="80">
        <v>4.9099999999999998E-2</v>
      </c>
      <c r="R106" s="87">
        <f>((K106-D106)/D106)</f>
        <v>-1.7072773161065124E-3</v>
      </c>
      <c r="S106" s="87">
        <f>((N106-G106)/G106)</f>
        <v>-5.1899299306482237E-3</v>
      </c>
      <c r="T106" s="87">
        <f>((O106-H106)/H106)</f>
        <v>-0.12543554006968641</v>
      </c>
      <c r="U106" s="87">
        <f>P106-I106</f>
        <v>1.7000000000000001E-3</v>
      </c>
      <c r="V106" s="88">
        <f>Q106-J106</f>
        <v>1.1999999999999997E-3</v>
      </c>
      <c r="X106" s="97"/>
      <c r="Y106" s="101"/>
      <c r="Z106" s="97"/>
      <c r="AA106" s="102"/>
    </row>
    <row r="107" spans="1:28" ht="16.5" customHeight="1">
      <c r="A107" s="167">
        <v>92</v>
      </c>
      <c r="B107" s="160" t="s">
        <v>164</v>
      </c>
      <c r="C107" s="159" t="s">
        <v>60</v>
      </c>
      <c r="D107" s="58">
        <f>1115368.2*1637.71</f>
        <v>1826649654.822</v>
      </c>
      <c r="E107" s="59">
        <f>(D107/$D$136)</f>
        <v>1.0224037911882914E-3</v>
      </c>
      <c r="F107" s="58">
        <f>100*1637.71</f>
        <v>163771</v>
      </c>
      <c r="G107" s="58">
        <f>100*1637.71</f>
        <v>163771</v>
      </c>
      <c r="H107" s="61">
        <v>22</v>
      </c>
      <c r="I107" s="80">
        <v>4.2789999999999998E-3</v>
      </c>
      <c r="J107" s="80">
        <v>6.8289000000000002E-2</v>
      </c>
      <c r="K107" s="58">
        <f>1144899.35*1655.882</f>
        <v>1895818225.4767003</v>
      </c>
      <c r="L107" s="59">
        <f t="shared" si="35"/>
        <v>1.0496895888170497E-3</v>
      </c>
      <c r="M107" s="58">
        <f>100*1655.882</f>
        <v>165588.20000000001</v>
      </c>
      <c r="N107" s="58">
        <f>100*1655.882</f>
        <v>165588.20000000001</v>
      </c>
      <c r="O107" s="61">
        <v>24</v>
      </c>
      <c r="P107" s="80">
        <v>5.8999999999999999E-3</v>
      </c>
      <c r="Q107" s="80">
        <v>7.1829000000000001</v>
      </c>
      <c r="R107" s="87">
        <f>((K107-D107)/D107)</f>
        <v>3.7866358484293199E-2</v>
      </c>
      <c r="S107" s="87">
        <f>((N107-G107)/G107)</f>
        <v>1.1095981584041202E-2</v>
      </c>
      <c r="T107" s="87">
        <f>((O107-H107)/H107)</f>
        <v>9.0909090909090912E-2</v>
      </c>
      <c r="U107" s="87">
        <f>P107-I107</f>
        <v>1.621E-3</v>
      </c>
      <c r="V107" s="88">
        <f>Q107-J107</f>
        <v>7.114611</v>
      </c>
      <c r="X107" s="97"/>
      <c r="Y107" s="101"/>
      <c r="Z107" s="97"/>
      <c r="AA107" s="102"/>
    </row>
    <row r="108" spans="1:28">
      <c r="A108" s="167">
        <v>93</v>
      </c>
      <c r="B108" s="160" t="s">
        <v>165</v>
      </c>
      <c r="C108" s="159" t="s">
        <v>26</v>
      </c>
      <c r="D108" s="58">
        <f>9618833.73*1665.913</f>
        <v>16024140155.645491</v>
      </c>
      <c r="E108" s="59">
        <f>(D108/$D$136)</f>
        <v>8.9689566920597933E-3</v>
      </c>
      <c r="F108" s="58">
        <f>1.1496*1665.913</f>
        <v>1915.1335847999999</v>
      </c>
      <c r="G108" s="58">
        <f>1.1496*1665.913</f>
        <v>1915.1335847999999</v>
      </c>
      <c r="H108" s="61">
        <v>295</v>
      </c>
      <c r="I108" s="80">
        <v>5.0099999999999999E-2</v>
      </c>
      <c r="J108" s="80">
        <v>-2.7400000000000001E-2</v>
      </c>
      <c r="K108" s="58">
        <f>9641765.91*1655.382</f>
        <v>15960805735.627621</v>
      </c>
      <c r="L108" s="59">
        <f t="shared" si="35"/>
        <v>8.8372879765975607E-3</v>
      </c>
      <c r="M108" s="58">
        <f>1.1519*1655.382</f>
        <v>1906.8345257999999</v>
      </c>
      <c r="N108" s="58">
        <f>1.1519*1655.382</f>
        <v>1906.8345257999999</v>
      </c>
      <c r="O108" s="61">
        <v>296</v>
      </c>
      <c r="P108" s="80">
        <v>5.45E-2</v>
      </c>
      <c r="Q108" s="80">
        <v>-2.3900000000000001E-2</v>
      </c>
      <c r="R108" s="87">
        <f t="shared" ref="R108:R118" si="36">((K108-D108)/D108)</f>
        <v>-3.9524379718781037E-3</v>
      </c>
      <c r="S108" s="87">
        <f t="shared" ref="S108:S118" si="37">((N108-G108)/G108)</f>
        <v>-4.3334099855319623E-3</v>
      </c>
      <c r="T108" s="87">
        <f t="shared" ref="T108:T118" si="38">((O108-H108)/H108)</f>
        <v>3.3898305084745762E-3</v>
      </c>
      <c r="U108" s="87">
        <f t="shared" ref="U108:U118" si="39">P108-I108</f>
        <v>4.4000000000000011E-3</v>
      </c>
      <c r="V108" s="88">
        <f t="shared" ref="V108:V118" si="40">Q108-J108</f>
        <v>3.4999999999999996E-3</v>
      </c>
    </row>
    <row r="109" spans="1:28">
      <c r="A109" s="167">
        <v>94</v>
      </c>
      <c r="B109" s="160" t="s">
        <v>166</v>
      </c>
      <c r="C109" s="159" t="s">
        <v>30</v>
      </c>
      <c r="D109" s="58">
        <f>2328239.32*1666.413</f>
        <v>3879808269.9591599</v>
      </c>
      <c r="E109" s="59">
        <f>(D109/$D$136)</f>
        <v>2.1715881169760893E-3</v>
      </c>
      <c r="F109" s="58">
        <f>1.0522*1666.413</f>
        <v>1753.3997586</v>
      </c>
      <c r="G109" s="58">
        <f>1.0522*1666.413</f>
        <v>1753.3997586</v>
      </c>
      <c r="H109" s="61">
        <v>268</v>
      </c>
      <c r="I109" s="80">
        <v>1.1000000000000001E-3</v>
      </c>
      <c r="J109" s="80">
        <v>5.2200000000000003E-2</v>
      </c>
      <c r="K109" s="58">
        <f>2436918.76*1655.882</f>
        <v>4035249910.1463199</v>
      </c>
      <c r="L109" s="59">
        <f t="shared" si="35"/>
        <v>2.2342647422805809E-3</v>
      </c>
      <c r="M109" s="58">
        <f>1.0545*1655.882</f>
        <v>1746.127569</v>
      </c>
      <c r="N109" s="58">
        <f>1.0545*1655.882</f>
        <v>1746.127569</v>
      </c>
      <c r="O109" s="61">
        <v>274</v>
      </c>
      <c r="P109" s="80">
        <v>1.5E-3</v>
      </c>
      <c r="Q109" s="80">
        <v>5.45E-2</v>
      </c>
      <c r="R109" s="87">
        <f t="shared" si="36"/>
        <v>4.006425817242671E-2</v>
      </c>
      <c r="S109" s="87">
        <f t="shared" ref="S109:T112" si="41">((N109-G109)/G109)</f>
        <v>-4.1474795261786266E-3</v>
      </c>
      <c r="T109" s="87">
        <f t="shared" si="41"/>
        <v>2.2388059701492536E-2</v>
      </c>
      <c r="U109" s="87">
        <f t="shared" si="39"/>
        <v>3.9999999999999996E-4</v>
      </c>
      <c r="V109" s="88">
        <f t="shared" si="40"/>
        <v>2.2999999999999965E-3</v>
      </c>
    </row>
    <row r="110" spans="1:28">
      <c r="A110" s="167">
        <v>95</v>
      </c>
      <c r="B110" s="160" t="s">
        <v>167</v>
      </c>
      <c r="C110" s="159" t="s">
        <v>66</v>
      </c>
      <c r="D110" s="58">
        <f>391990.95*1666.413</f>
        <v>653218814.96235001</v>
      </c>
      <c r="E110" s="59">
        <f>(D110/$D$136)</f>
        <v>3.6561657629859481E-4</v>
      </c>
      <c r="F110" s="58">
        <f>1.06*1666.413</f>
        <v>1766.39778</v>
      </c>
      <c r="G110" s="58">
        <f>1.07*1666.413</f>
        <v>1783.0619100000001</v>
      </c>
      <c r="H110" s="61">
        <v>15</v>
      </c>
      <c r="I110" s="80">
        <v>0.66</v>
      </c>
      <c r="J110" s="80">
        <v>5.7000000000000002E-2</v>
      </c>
      <c r="K110" s="58">
        <f>395549.26*1655.882</f>
        <v>654982899.74732006</v>
      </c>
      <c r="L110" s="59">
        <f t="shared" si="35"/>
        <v>3.6265540729522492E-4</v>
      </c>
      <c r="M110" s="58">
        <f>1.06*1655.882</f>
        <v>1755.2349200000001</v>
      </c>
      <c r="N110" s="58">
        <f>1.06*1655.882</f>
        <v>1755.2349200000001</v>
      </c>
      <c r="O110" s="61">
        <v>18</v>
      </c>
      <c r="P110" s="80">
        <v>0.153</v>
      </c>
      <c r="Q110" s="80">
        <v>5.3999999999999999E-2</v>
      </c>
      <c r="R110" s="87">
        <f t="shared" si="36"/>
        <v>2.7006031433306505E-3</v>
      </c>
      <c r="S110" s="87">
        <f t="shared" si="41"/>
        <v>-1.5606294904252664E-2</v>
      </c>
      <c r="T110" s="87">
        <f t="shared" si="41"/>
        <v>0.2</v>
      </c>
      <c r="U110" s="87">
        <f t="shared" si="39"/>
        <v>-0.50700000000000001</v>
      </c>
      <c r="V110" s="88">
        <f t="shared" si="40"/>
        <v>-3.0000000000000027E-3</v>
      </c>
    </row>
    <row r="111" spans="1:28">
      <c r="A111" s="167">
        <v>96</v>
      </c>
      <c r="B111" s="160" t="s">
        <v>168</v>
      </c>
      <c r="C111" s="159" t="s">
        <v>32</v>
      </c>
      <c r="D111" s="58">
        <f>391695.53*1666.413</f>
        <v>652726523.23389006</v>
      </c>
      <c r="E111" s="59">
        <v>0</v>
      </c>
      <c r="F111" s="58">
        <f>1.17*1666.413</f>
        <v>1949.7032099999999</v>
      </c>
      <c r="G111" s="58">
        <f>1.171*1666.413</f>
        <v>1951.369623</v>
      </c>
      <c r="H111" s="61">
        <v>43</v>
      </c>
      <c r="I111" s="80">
        <v>2.5499999999999998E-2</v>
      </c>
      <c r="J111" s="80">
        <v>9.3299999999999994E-2</v>
      </c>
      <c r="K111" s="58">
        <f>391771.818*1655.882</f>
        <v>648727901.53347611</v>
      </c>
      <c r="L111" s="59">
        <f t="shared" si="35"/>
        <v>3.5919209714507051E-4</v>
      </c>
      <c r="M111" s="58">
        <f>1.18*1655.882</f>
        <v>1953.94076</v>
      </c>
      <c r="N111" s="58">
        <f>1.18*1655.88</f>
        <v>1953.9384</v>
      </c>
      <c r="O111" s="61">
        <v>44</v>
      </c>
      <c r="P111" s="80">
        <v>2.5500000000000002E-3</v>
      </c>
      <c r="Q111" s="80">
        <v>9.3399999999999997E-2</v>
      </c>
      <c r="R111" s="87">
        <f t="shared" si="36"/>
        <v>-6.1260291379045513E-3</v>
      </c>
      <c r="S111" s="87">
        <f t="shared" si="41"/>
        <v>1.3163969397303437E-3</v>
      </c>
      <c r="T111" s="87">
        <f t="shared" si="41"/>
        <v>2.3255813953488372E-2</v>
      </c>
      <c r="U111" s="87">
        <f t="shared" si="39"/>
        <v>-2.2949999999999998E-2</v>
      </c>
      <c r="V111" s="88">
        <f t="shared" si="40"/>
        <v>1.0000000000000286E-4</v>
      </c>
    </row>
    <row r="112" spans="1:28">
      <c r="A112" s="167">
        <v>97</v>
      </c>
      <c r="B112" s="160" t="s">
        <v>169</v>
      </c>
      <c r="C112" s="159" t="s">
        <v>76</v>
      </c>
      <c r="D112" s="58">
        <f>420513.08*1666.413</f>
        <v>700748463.18203998</v>
      </c>
      <c r="E112" s="59">
        <f t="shared" ref="E112:E118" si="42">(D112/$D$136)</f>
        <v>3.9221964843417199E-4</v>
      </c>
      <c r="F112" s="58">
        <f>106.51*1666.413</f>
        <v>177489.64863000001</v>
      </c>
      <c r="G112" s="58">
        <f>107.79*1666.413</f>
        <v>179622.65727000003</v>
      </c>
      <c r="H112" s="61">
        <v>45</v>
      </c>
      <c r="I112" s="80">
        <v>1E-3</v>
      </c>
      <c r="J112" s="80">
        <v>6.8699999999999997E-2</v>
      </c>
      <c r="K112" s="58">
        <f>409505.93*1655.882</f>
        <v>678093498.38025999</v>
      </c>
      <c r="L112" s="59">
        <f t="shared" si="35"/>
        <v>3.7545144145626733E-4</v>
      </c>
      <c r="M112" s="163">
        <f>106.59*1655.882</f>
        <v>176500.46238000001</v>
      </c>
      <c r="N112" s="58">
        <f>107.96*1655.882</f>
        <v>178769.02072</v>
      </c>
      <c r="O112" s="61">
        <v>45</v>
      </c>
      <c r="P112" s="80">
        <v>1.1999999999999999E-3</v>
      </c>
      <c r="Q112" s="80">
        <v>6.9800000000000001E-2</v>
      </c>
      <c r="R112" s="87">
        <f t="shared" si="36"/>
        <v>-3.2329667479976613E-2</v>
      </c>
      <c r="S112" s="87">
        <f t="shared" si="41"/>
        <v>-4.752387939105476E-3</v>
      </c>
      <c r="T112" s="87">
        <f t="shared" si="41"/>
        <v>0</v>
      </c>
      <c r="U112" s="87">
        <f t="shared" si="39"/>
        <v>1.9999999999999987E-4</v>
      </c>
      <c r="V112" s="88">
        <f t="shared" si="40"/>
        <v>1.1000000000000038E-3</v>
      </c>
    </row>
    <row r="113" spans="1:24">
      <c r="A113" s="167">
        <v>98</v>
      </c>
      <c r="B113" s="160" t="s">
        <v>170</v>
      </c>
      <c r="C113" s="159" t="s">
        <v>79</v>
      </c>
      <c r="D113" s="58">
        <v>5289198528.1085997</v>
      </c>
      <c r="E113" s="59">
        <f t="shared" si="42"/>
        <v>2.9604454325494189E-3</v>
      </c>
      <c r="F113" s="58">
        <v>183615.0495354</v>
      </c>
      <c r="G113" s="58">
        <v>183615.0495354</v>
      </c>
      <c r="H113" s="61">
        <v>53</v>
      </c>
      <c r="I113" s="80">
        <v>6.6699999999999995E-4</v>
      </c>
      <c r="J113" s="80">
        <v>6.7299999999999999E-2</v>
      </c>
      <c r="K113" s="58">
        <v>5270457306.9281998</v>
      </c>
      <c r="L113" s="59">
        <f t="shared" si="35"/>
        <v>2.9181828136482751E-3</v>
      </c>
      <c r="M113" s="58">
        <v>182674.74959339999</v>
      </c>
      <c r="N113" s="58">
        <v>182674.74959339999</v>
      </c>
      <c r="O113" s="61">
        <v>53</v>
      </c>
      <c r="P113" s="80">
        <v>8.6200000000000003E-4</v>
      </c>
      <c r="Q113" s="80">
        <v>6.7229999999999998E-2</v>
      </c>
      <c r="R113" s="87">
        <f t="shared" si="36"/>
        <v>-3.5433007630178131E-3</v>
      </c>
      <c r="S113" s="87">
        <f t="shared" si="37"/>
        <v>-5.1210396118359976E-3</v>
      </c>
      <c r="T113" s="87">
        <f t="shared" si="38"/>
        <v>0</v>
      </c>
      <c r="U113" s="87">
        <f t="shared" si="39"/>
        <v>1.9500000000000008E-4</v>
      </c>
      <c r="V113" s="88">
        <f t="shared" si="40"/>
        <v>-7.0000000000000617E-5</v>
      </c>
      <c r="X113" s="98"/>
    </row>
    <row r="114" spans="1:24">
      <c r="A114" s="167">
        <v>99</v>
      </c>
      <c r="B114" s="160" t="s">
        <v>171</v>
      </c>
      <c r="C114" s="159" t="s">
        <v>34</v>
      </c>
      <c r="D114" s="58">
        <v>56785321413.370003</v>
      </c>
      <c r="E114" s="59">
        <f t="shared" si="42"/>
        <v>3.1783614194224145E-2</v>
      </c>
      <c r="F114" s="58">
        <v>207923.32</v>
      </c>
      <c r="G114" s="58">
        <v>207923.32</v>
      </c>
      <c r="H114" s="61">
        <v>2212</v>
      </c>
      <c r="I114" s="80">
        <v>1.2999999999999999E-3</v>
      </c>
      <c r="J114" s="80">
        <v>6.5699999999999995E-2</v>
      </c>
      <c r="K114" s="163">
        <v>56371321923.970001</v>
      </c>
      <c r="L114" s="59">
        <f t="shared" si="35"/>
        <v>3.1212058696485426E-2</v>
      </c>
      <c r="M114" s="58">
        <v>209741.23</v>
      </c>
      <c r="N114" s="58">
        <v>209741.23</v>
      </c>
      <c r="O114" s="61">
        <v>2219</v>
      </c>
      <c r="P114" s="80">
        <v>1.4E-3</v>
      </c>
      <c r="Q114" s="80">
        <v>6.7100000000000007E-2</v>
      </c>
      <c r="R114" s="87">
        <f t="shared" si="36"/>
        <v>-7.2906074861544424E-3</v>
      </c>
      <c r="S114" s="87">
        <f t="shared" si="37"/>
        <v>8.7431751282155534E-3</v>
      </c>
      <c r="T114" s="87">
        <f t="shared" si="38"/>
        <v>3.1645569620253164E-3</v>
      </c>
      <c r="U114" s="87">
        <f t="shared" si="39"/>
        <v>1.0000000000000005E-4</v>
      </c>
      <c r="V114" s="88">
        <f t="shared" si="40"/>
        <v>1.4000000000000123E-3</v>
      </c>
    </row>
    <row r="115" spans="1:24">
      <c r="A115" s="167">
        <v>100</v>
      </c>
      <c r="B115" s="166" t="s">
        <v>172</v>
      </c>
      <c r="C115" s="166" t="s">
        <v>34</v>
      </c>
      <c r="D115" s="58">
        <v>104281773032.72</v>
      </c>
      <c r="E115" s="59">
        <f t="shared" si="42"/>
        <v>5.8368105684107975E-2</v>
      </c>
      <c r="F115" s="58">
        <v>195022.91</v>
      </c>
      <c r="G115" s="58">
        <v>195022.91</v>
      </c>
      <c r="H115" s="61">
        <v>565</v>
      </c>
      <c r="I115" s="80">
        <v>1.5E-3</v>
      </c>
      <c r="J115" s="80">
        <v>7.9500000000000001E-2</v>
      </c>
      <c r="K115" s="58">
        <v>106171438586.52</v>
      </c>
      <c r="L115" s="59">
        <f t="shared" si="35"/>
        <v>5.8785727564136935E-2</v>
      </c>
      <c r="M115" s="58">
        <v>196797.14</v>
      </c>
      <c r="N115" s="58">
        <v>196797.14</v>
      </c>
      <c r="O115" s="61">
        <v>575</v>
      </c>
      <c r="P115" s="80">
        <v>1.8E-3</v>
      </c>
      <c r="Q115" s="80">
        <v>8.1299999999999997E-2</v>
      </c>
      <c r="R115" s="87">
        <f t="shared" si="36"/>
        <v>1.8120765488011902E-2</v>
      </c>
      <c r="S115" s="87">
        <f t="shared" si="37"/>
        <v>9.0975465395322554E-3</v>
      </c>
      <c r="T115" s="87">
        <f t="shared" si="38"/>
        <v>1.7699115044247787E-2</v>
      </c>
      <c r="U115" s="87">
        <f t="shared" si="39"/>
        <v>2.9999999999999992E-4</v>
      </c>
      <c r="V115" s="88">
        <f t="shared" si="40"/>
        <v>1.799999999999996E-3</v>
      </c>
    </row>
    <row r="116" spans="1:24">
      <c r="A116" s="167">
        <v>101</v>
      </c>
      <c r="B116" s="160" t="s">
        <v>173</v>
      </c>
      <c r="C116" s="159" t="s">
        <v>38</v>
      </c>
      <c r="D116" s="58">
        <f>129499.46*1666.413</f>
        <v>215799583.63698003</v>
      </c>
      <c r="E116" s="59">
        <f t="shared" si="42"/>
        <v>1.2078633243373815E-4</v>
      </c>
      <c r="F116" s="58">
        <f>116.56*1666.413</f>
        <v>194237.09927999999</v>
      </c>
      <c r="G116" s="58">
        <f>116.56*1666.413</f>
        <v>194237.09927999999</v>
      </c>
      <c r="H116" s="61">
        <v>4</v>
      </c>
      <c r="I116" s="80">
        <v>1.9E-3</v>
      </c>
      <c r="J116" s="80">
        <v>1.72E-2</v>
      </c>
      <c r="K116" s="58">
        <f>129795.79*1655.882</f>
        <v>214926512.33678001</v>
      </c>
      <c r="L116" s="59">
        <f t="shared" si="35"/>
        <v>1.190019798991799E-4</v>
      </c>
      <c r="M116" s="58">
        <f>116.83*1655.882</f>
        <v>193456.69406000001</v>
      </c>
      <c r="N116" s="58">
        <f>116.83*1655.882</f>
        <v>193456.69406000001</v>
      </c>
      <c r="O116" s="61">
        <v>4</v>
      </c>
      <c r="P116" s="80">
        <v>2.3E-3</v>
      </c>
      <c r="Q116" s="80">
        <v>1.95E-2</v>
      </c>
      <c r="R116" s="87">
        <f t="shared" si="36"/>
        <v>-4.0457506241935275E-3</v>
      </c>
      <c r="S116" s="87">
        <f t="shared" si="37"/>
        <v>-4.0177969239285375E-3</v>
      </c>
      <c r="T116" s="87">
        <f t="shared" si="38"/>
        <v>0</v>
      </c>
      <c r="U116" s="87">
        <f t="shared" si="39"/>
        <v>3.9999999999999996E-4</v>
      </c>
      <c r="V116" s="88">
        <f t="shared" si="40"/>
        <v>2.3E-3</v>
      </c>
    </row>
    <row r="117" spans="1:24">
      <c r="A117" s="167">
        <v>102</v>
      </c>
      <c r="B117" s="160" t="s">
        <v>174</v>
      </c>
      <c r="C117" s="159" t="s">
        <v>44</v>
      </c>
      <c r="D117" s="58">
        <f>10116485.8*1666.413</f>
        <v>16858243451.435402</v>
      </c>
      <c r="E117" s="59">
        <f t="shared" si="42"/>
        <v>9.4358170829437552E-3</v>
      </c>
      <c r="F117" s="58">
        <f>1.38*1666.413</f>
        <v>2299.6499399999998</v>
      </c>
      <c r="G117" s="58">
        <f>1.38*1666.413</f>
        <v>2299.6499399999998</v>
      </c>
      <c r="H117" s="76">
        <v>110</v>
      </c>
      <c r="I117" s="83">
        <v>6.9999999999999999E-4</v>
      </c>
      <c r="J117" s="83">
        <v>4.7399999999999998E-2</v>
      </c>
      <c r="K117" s="58">
        <f>10170980.24*1655.882</f>
        <v>16841943101.771681</v>
      </c>
      <c r="L117" s="59">
        <f t="shared" si="35"/>
        <v>9.3251621341141795E-3</v>
      </c>
      <c r="M117" s="58">
        <f>1.38*1655.882</f>
        <v>2285.1171599999998</v>
      </c>
      <c r="N117" s="58">
        <f>1.38*1655.882</f>
        <v>2285.1171599999998</v>
      </c>
      <c r="O117" s="76">
        <v>110</v>
      </c>
      <c r="P117" s="83">
        <v>8.9999999999999998E-4</v>
      </c>
      <c r="Q117" s="83">
        <v>4.7500000000000001E-2</v>
      </c>
      <c r="R117" s="87">
        <f t="shared" si="36"/>
        <v>-9.6690676645396205E-4</v>
      </c>
      <c r="S117" s="87">
        <f t="shared" si="37"/>
        <v>-6.3195618373116406E-3</v>
      </c>
      <c r="T117" s="87">
        <f t="shared" si="38"/>
        <v>0</v>
      </c>
      <c r="U117" s="87">
        <f t="shared" si="39"/>
        <v>1.9999999999999998E-4</v>
      </c>
      <c r="V117" s="88">
        <f t="shared" si="40"/>
        <v>1.0000000000000286E-4</v>
      </c>
    </row>
    <row r="118" spans="1:24">
      <c r="A118" s="167">
        <v>103</v>
      </c>
      <c r="B118" s="160" t="s">
        <v>175</v>
      </c>
      <c r="C118" s="159" t="s">
        <v>93</v>
      </c>
      <c r="D118" s="58">
        <f>18318191.45*1666.413</f>
        <v>30525672368.768848</v>
      </c>
      <c r="E118" s="59">
        <f t="shared" si="42"/>
        <v>1.7085686396410917E-2</v>
      </c>
      <c r="F118" s="58">
        <f>103.7*1666.413</f>
        <v>172807.0281</v>
      </c>
      <c r="G118" s="58">
        <f>103.7*1666.413</f>
        <v>172807.0281</v>
      </c>
      <c r="H118" s="61">
        <v>433</v>
      </c>
      <c r="I118" s="96" t="s">
        <v>176</v>
      </c>
      <c r="J118" s="80">
        <v>8.2600000000000007E-2</v>
      </c>
      <c r="K118" s="58">
        <f>17966565.42*1655.882</f>
        <v>29750512280.800446</v>
      </c>
      <c r="L118" s="59">
        <f t="shared" si="35"/>
        <v>1.6472466918750917E-2</v>
      </c>
      <c r="M118" s="58">
        <f>104.16*1655.882</f>
        <v>172476.66912000001</v>
      </c>
      <c r="N118" s="58">
        <f>104.16*1655.882</f>
        <v>172476.66912000001</v>
      </c>
      <c r="O118" s="61">
        <v>439</v>
      </c>
      <c r="P118" s="96">
        <v>0.44</v>
      </c>
      <c r="Q118" s="80">
        <v>8.6999999999999994E-2</v>
      </c>
      <c r="R118" s="87">
        <f t="shared" si="36"/>
        <v>-2.5393710533350208E-2</v>
      </c>
      <c r="S118" s="87">
        <f t="shared" si="37"/>
        <v>-1.9117218994635901E-3</v>
      </c>
      <c r="T118" s="87">
        <f t="shared" si="38"/>
        <v>1.3856812933025405E-2</v>
      </c>
      <c r="U118" s="87" t="e">
        <f t="shared" si="39"/>
        <v>#VALUE!</v>
      </c>
      <c r="V118" s="88">
        <f t="shared" si="40"/>
        <v>4.3999999999999873E-3</v>
      </c>
    </row>
    <row r="119" spans="1:24">
      <c r="A119" s="167">
        <v>104</v>
      </c>
      <c r="B119" s="160" t="s">
        <v>177</v>
      </c>
      <c r="C119" s="159" t="s">
        <v>48</v>
      </c>
      <c r="D119" s="58">
        <f>1958547.67*1666.413</f>
        <v>3263749298.4077101</v>
      </c>
      <c r="E119" s="59">
        <f t="shared" ref="E119:E120" si="43">(D119/$D$136)</f>
        <v>1.8267704742239333E-3</v>
      </c>
      <c r="F119" s="58">
        <f>137.931332*1666.413</f>
        <v>229850.56475211598</v>
      </c>
      <c r="G119" s="58">
        <f>141.470705*1666.413</f>
        <v>235748.62193116502</v>
      </c>
      <c r="H119" s="61">
        <v>46</v>
      </c>
      <c r="I119" s="80">
        <v>8.0000000000000002E-3</v>
      </c>
      <c r="J119" s="80">
        <v>4.6199999999999998E-2</v>
      </c>
      <c r="K119" s="58">
        <f>1940278.07*1655.882</f>
        <v>3212871531.1077404</v>
      </c>
      <c r="L119" s="59">
        <f t="shared" ref="L119:L120" si="44">(K119/$K$136)</f>
        <v>1.7789246622325699E-3</v>
      </c>
      <c r="M119" s="58">
        <f>136.9*1655.882</f>
        <v>226690.2458</v>
      </c>
      <c r="N119" s="58">
        <f>140.48*1655.882</f>
        <v>232618.30335999999</v>
      </c>
      <c r="O119" s="61">
        <v>46</v>
      </c>
      <c r="P119" s="80">
        <v>3.8199999999999998E-2</v>
      </c>
      <c r="Q119" s="80">
        <v>3.8699999999999998E-2</v>
      </c>
      <c r="R119" s="87">
        <f t="shared" ref="R119:R120" si="45">((K119-D119)/D119)</f>
        <v>-1.5588748598059135E-2</v>
      </c>
      <c r="S119" s="87">
        <f t="shared" ref="S119:S120" si="46">((N119-G119)/G119)</f>
        <v>-1.3278205172622534E-2</v>
      </c>
      <c r="T119" s="87">
        <f t="shared" ref="T119:T120" si="47">((O119-H119)/H119)</f>
        <v>0</v>
      </c>
      <c r="U119" s="87">
        <f t="shared" ref="U119:U120" si="48">P119-I119</f>
        <v>3.0199999999999998E-2</v>
      </c>
      <c r="V119" s="88">
        <f t="shared" ref="V119:V120" si="49">Q119-J119</f>
        <v>-7.4999999999999997E-3</v>
      </c>
    </row>
    <row r="120" spans="1:24">
      <c r="A120" s="167">
        <v>105</v>
      </c>
      <c r="B120" s="160" t="s">
        <v>178</v>
      </c>
      <c r="C120" s="159" t="s">
        <v>55</v>
      </c>
      <c r="D120" s="62">
        <f>143100725.15*1666.72</f>
        <v>238508840622.00803</v>
      </c>
      <c r="E120" s="59">
        <f t="shared" si="43"/>
        <v>0.13349705141330315</v>
      </c>
      <c r="F120" s="58">
        <f>123.1545*1666.72</f>
        <v>205264.06823999999</v>
      </c>
      <c r="G120" s="58">
        <f>123.1545*1666.72</f>
        <v>205264.06823999999</v>
      </c>
      <c r="H120" s="61">
        <v>3359</v>
      </c>
      <c r="I120" s="80">
        <v>5.4800000000000001E-2</v>
      </c>
      <c r="J120" s="80">
        <v>5.3100000000000001E-2</v>
      </c>
      <c r="K120" s="62">
        <f>142509687.69*1678.87</f>
        <v>239255239372.11029</v>
      </c>
      <c r="L120" s="59">
        <f t="shared" si="44"/>
        <v>0.13247247571727802</v>
      </c>
      <c r="M120" s="58">
        <f>123.2805*1678.87</f>
        <v>206971.93303499999</v>
      </c>
      <c r="N120" s="58">
        <f>123.2805*1678.87</f>
        <v>206971.93303499999</v>
      </c>
      <c r="O120" s="61">
        <v>3372</v>
      </c>
      <c r="P120" s="80">
        <v>5.4800000000000001E-2</v>
      </c>
      <c r="Q120" s="80">
        <v>5.2999999999999999E-2</v>
      </c>
      <c r="R120" s="87">
        <f t="shared" si="45"/>
        <v>3.1294385069992733E-3</v>
      </c>
      <c r="S120" s="87">
        <f t="shared" si="46"/>
        <v>8.3203300492082338E-3</v>
      </c>
      <c r="T120" s="87">
        <f t="shared" si="47"/>
        <v>3.8701994641262279E-3</v>
      </c>
      <c r="U120" s="87">
        <f t="shared" si="48"/>
        <v>0</v>
      </c>
      <c r="V120" s="88">
        <f t="shared" si="49"/>
        <v>-1.0000000000000286E-4</v>
      </c>
    </row>
    <row r="121" spans="1:24" ht="6" customHeight="1">
      <c r="A121" s="65"/>
      <c r="B121" s="172"/>
      <c r="C121" s="172"/>
      <c r="D121" s="172"/>
      <c r="E121" s="172"/>
      <c r="F121" s="172"/>
      <c r="G121" s="172"/>
      <c r="H121" s="172"/>
      <c r="I121" s="172"/>
      <c r="J121" s="172"/>
      <c r="K121" s="172"/>
      <c r="L121" s="172"/>
      <c r="M121" s="172"/>
      <c r="N121" s="172"/>
      <c r="O121" s="172"/>
      <c r="P121" s="172"/>
      <c r="Q121" s="172"/>
      <c r="R121" s="172"/>
      <c r="S121" s="172"/>
      <c r="T121" s="172"/>
      <c r="U121" s="172"/>
      <c r="V121" s="172"/>
    </row>
    <row r="122" spans="1:24">
      <c r="A122" s="175" t="s">
        <v>179</v>
      </c>
      <c r="B122" s="175"/>
      <c r="C122" s="175"/>
      <c r="D122" s="175"/>
      <c r="E122" s="175"/>
      <c r="F122" s="175"/>
      <c r="G122" s="175"/>
      <c r="H122" s="175"/>
      <c r="I122" s="175"/>
      <c r="J122" s="175"/>
      <c r="K122" s="175"/>
      <c r="L122" s="175"/>
      <c r="M122" s="175"/>
      <c r="N122" s="175"/>
      <c r="O122" s="175"/>
      <c r="P122" s="175"/>
      <c r="Q122" s="175"/>
      <c r="R122" s="175"/>
      <c r="S122" s="175"/>
      <c r="T122" s="175"/>
      <c r="U122" s="175"/>
      <c r="V122" s="175"/>
    </row>
    <row r="123" spans="1:24">
      <c r="A123" s="167">
        <v>106</v>
      </c>
      <c r="B123" s="160" t="s">
        <v>180</v>
      </c>
      <c r="C123" s="159" t="s">
        <v>122</v>
      </c>
      <c r="D123" s="62">
        <v>1928132186.96</v>
      </c>
      <c r="E123" s="59">
        <f t="shared" ref="E123:E133" si="50">(D123/$D$136)</f>
        <v>1.0792051188667452E-3</v>
      </c>
      <c r="F123" s="58">
        <v>171956.57</v>
      </c>
      <c r="G123" s="58">
        <v>144290.94</v>
      </c>
      <c r="H123" s="61">
        <v>21</v>
      </c>
      <c r="I123" s="80">
        <v>8.1150000000000007E-3</v>
      </c>
      <c r="J123" s="80">
        <v>6.72</v>
      </c>
      <c r="K123" s="62">
        <v>1975321033.3499999</v>
      </c>
      <c r="L123" s="59">
        <f t="shared" ref="L123:L135" si="51">(K123/$K$136)</f>
        <v>1.0937092467066349E-3</v>
      </c>
      <c r="M123" s="58">
        <v>174980.44</v>
      </c>
      <c r="N123" s="58">
        <v>146828.31</v>
      </c>
      <c r="O123" s="61">
        <v>21</v>
      </c>
      <c r="P123" s="80">
        <v>1.4293999999999999E-2</v>
      </c>
      <c r="Q123" s="80">
        <v>8.1900000000000001E-2</v>
      </c>
      <c r="R123" s="87">
        <f>((K123-D123)/D123)</f>
        <v>2.4473864763598193E-2</v>
      </c>
      <c r="S123" s="87">
        <f>((N123-G123)/G123)</f>
        <v>1.7585095779402333E-2</v>
      </c>
      <c r="T123" s="87">
        <f>((O123-H123)/H123)</f>
        <v>0</v>
      </c>
      <c r="U123" s="87">
        <f>P123-I123</f>
        <v>6.1789999999999987E-3</v>
      </c>
      <c r="V123" s="88">
        <f>Q123-J123</f>
        <v>-6.6380999999999997</v>
      </c>
    </row>
    <row r="124" spans="1:24">
      <c r="A124" s="167">
        <v>107</v>
      </c>
      <c r="B124" s="159" t="s">
        <v>181</v>
      </c>
      <c r="C124" s="159" t="s">
        <v>28</v>
      </c>
      <c r="D124" s="58">
        <f>11119067.31*1666.413</f>
        <v>18528958313.259029</v>
      </c>
      <c r="E124" s="59">
        <f t="shared" si="50"/>
        <v>1.0370941781987126E-2</v>
      </c>
      <c r="F124" s="62">
        <f>132.51*1666.413</f>
        <v>220816.38662999999</v>
      </c>
      <c r="G124" s="62">
        <f>132.51*1666.413</f>
        <v>220816.38662999999</v>
      </c>
      <c r="H124" s="61">
        <v>486</v>
      </c>
      <c r="I124" s="80">
        <v>5.0000000000000001E-4</v>
      </c>
      <c r="J124" s="80">
        <v>4.8599999999999997E-2</v>
      </c>
      <c r="K124" s="58">
        <f>11286238.22*1655.882</f>
        <v>18688678716.210041</v>
      </c>
      <c r="L124" s="59">
        <f t="shared" si="51"/>
        <v>1.0347675327480158E-2</v>
      </c>
      <c r="M124" s="62">
        <f>132.65*1655.882</f>
        <v>219652.74730000002</v>
      </c>
      <c r="N124" s="62">
        <f>132.65*1655.882</f>
        <v>219652.74730000002</v>
      </c>
      <c r="O124" s="61">
        <v>490</v>
      </c>
      <c r="P124" s="80">
        <v>5.0000000000000001E-4</v>
      </c>
      <c r="Q124" s="80">
        <v>4.9599999999999998E-2</v>
      </c>
      <c r="R124" s="87">
        <f t="shared" ref="R124:R136" si="52">((K124-D124)/D124)</f>
        <v>8.6200422198973951E-3</v>
      </c>
      <c r="S124" s="87">
        <f t="shared" ref="S124:S136" si="53">((N124-G124)/G124)</f>
        <v>-5.2697145703673289E-3</v>
      </c>
      <c r="T124" s="87">
        <f t="shared" ref="T124:T136" si="54">((O124-H124)/H124)</f>
        <v>8.23045267489712E-3</v>
      </c>
      <c r="U124" s="87">
        <f t="shared" ref="U124:U136" si="55">P124-I124</f>
        <v>0</v>
      </c>
      <c r="V124" s="88">
        <f t="shared" ref="V124:V136" si="56">Q124-J124</f>
        <v>1.0000000000000009E-3</v>
      </c>
    </row>
    <row r="125" spans="1:24">
      <c r="A125" s="167">
        <v>108</v>
      </c>
      <c r="B125" s="160" t="s">
        <v>182</v>
      </c>
      <c r="C125" s="159" t="s">
        <v>70</v>
      </c>
      <c r="D125" s="62">
        <v>16729490117.360001</v>
      </c>
      <c r="E125" s="59">
        <f t="shared" si="50"/>
        <v>9.3637518697052315E-3</v>
      </c>
      <c r="F125" s="62">
        <v>190998.93</v>
      </c>
      <c r="G125" s="62">
        <v>190998.93</v>
      </c>
      <c r="H125" s="61">
        <v>632</v>
      </c>
      <c r="I125" s="80">
        <v>1.1999999999999999E-3</v>
      </c>
      <c r="J125" s="80">
        <v>6.2799999999999995E-2</v>
      </c>
      <c r="K125" s="62">
        <v>17034043353.82</v>
      </c>
      <c r="L125" s="59">
        <f t="shared" si="51"/>
        <v>9.4315255142497136E-3</v>
      </c>
      <c r="M125" s="62">
        <v>193646.97</v>
      </c>
      <c r="N125" s="62">
        <v>193646.97</v>
      </c>
      <c r="O125" s="61">
        <v>633</v>
      </c>
      <c r="P125" s="80">
        <v>1.1000000000000001E-3</v>
      </c>
      <c r="Q125" s="80">
        <v>6.2799999999999995E-2</v>
      </c>
      <c r="R125" s="87">
        <f t="shared" si="52"/>
        <v>1.8204573739158236E-2</v>
      </c>
      <c r="S125" s="87">
        <f t="shared" si="53"/>
        <v>1.3864161437972497E-2</v>
      </c>
      <c r="T125" s="87">
        <f t="shared" si="54"/>
        <v>1.5822784810126582E-3</v>
      </c>
      <c r="U125" s="87">
        <f t="shared" si="55"/>
        <v>-9.9999999999999829E-5</v>
      </c>
      <c r="V125" s="88">
        <f t="shared" si="56"/>
        <v>0</v>
      </c>
    </row>
    <row r="126" spans="1:24">
      <c r="A126" s="167">
        <v>109</v>
      </c>
      <c r="B126" s="160" t="s">
        <v>183</v>
      </c>
      <c r="C126" s="159" t="s">
        <v>68</v>
      </c>
      <c r="D126" s="62">
        <v>6820318751.0627499</v>
      </c>
      <c r="E126" s="59">
        <f t="shared" si="50"/>
        <v>3.8174368740012442E-3</v>
      </c>
      <c r="F126" s="93">
        <v>2081.5519861781399</v>
      </c>
      <c r="G126" s="62">
        <v>2081.5519861781399</v>
      </c>
      <c r="H126" s="61">
        <v>219</v>
      </c>
      <c r="I126" s="80">
        <v>5.1719707875194303E-2</v>
      </c>
      <c r="J126" s="80">
        <v>5.3771771233478503E-2</v>
      </c>
      <c r="K126" s="62">
        <v>7153963043.7424402</v>
      </c>
      <c r="L126" s="59">
        <f t="shared" si="51"/>
        <v>3.9610551396139972E-3</v>
      </c>
      <c r="M126" s="93">
        <v>2094.0413794212154</v>
      </c>
      <c r="N126" s="62">
        <v>2094.0413794212154</v>
      </c>
      <c r="O126" s="61">
        <v>219</v>
      </c>
      <c r="P126" s="80">
        <v>5.46724243418596E-2</v>
      </c>
      <c r="Q126" s="80">
        <v>5.38468824937317E-2</v>
      </c>
      <c r="R126" s="87">
        <f t="shared" si="52"/>
        <v>4.8919164170692392E-2</v>
      </c>
      <c r="S126" s="87">
        <f t="shared" si="53"/>
        <v>6.0000390698897663E-3</v>
      </c>
      <c r="T126" s="87">
        <f t="shared" si="54"/>
        <v>0</v>
      </c>
      <c r="U126" s="87">
        <f t="shared" si="55"/>
        <v>2.9527164666652977E-3</v>
      </c>
      <c r="V126" s="88">
        <f t="shared" si="56"/>
        <v>7.5111260253196699E-5</v>
      </c>
    </row>
    <row r="127" spans="1:24">
      <c r="A127" s="167">
        <v>110</v>
      </c>
      <c r="B127" s="160" t="s">
        <v>184</v>
      </c>
      <c r="C127" s="159" t="s">
        <v>40</v>
      </c>
      <c r="D127" s="62">
        <v>77823700116.850006</v>
      </c>
      <c r="E127" s="59">
        <f t="shared" si="50"/>
        <v>4.3559117006222871E-2</v>
      </c>
      <c r="F127" s="62">
        <f>100*1675.49</f>
        <v>167549</v>
      </c>
      <c r="G127" s="62">
        <f>100*1675.49</f>
        <v>167549</v>
      </c>
      <c r="H127" s="61">
        <v>1748</v>
      </c>
      <c r="I127" s="80">
        <v>5.1299999999999998E-2</v>
      </c>
      <c r="J127" s="80">
        <v>5.5800000000000002E-2</v>
      </c>
      <c r="K127" s="62">
        <v>78099081274.052704</v>
      </c>
      <c r="L127" s="59">
        <f t="shared" si="51"/>
        <v>4.3242432954739667E-2</v>
      </c>
      <c r="M127" s="62">
        <f>100*1675.49</f>
        <v>167549</v>
      </c>
      <c r="N127" s="62">
        <f>100*1675.49</f>
        <v>167549</v>
      </c>
      <c r="O127" s="61">
        <v>1771</v>
      </c>
      <c r="P127" s="80">
        <v>5.3800000000000001E-2</v>
      </c>
      <c r="Q127" s="80">
        <v>5.56993E-2</v>
      </c>
      <c r="R127" s="87">
        <f t="shared" si="52"/>
        <v>3.538525626373727E-3</v>
      </c>
      <c r="S127" s="87">
        <f t="shared" si="53"/>
        <v>0</v>
      </c>
      <c r="T127" s="87">
        <f t="shared" si="54"/>
        <v>1.3157894736842105E-2</v>
      </c>
      <c r="U127" s="87">
        <f t="shared" si="55"/>
        <v>2.5000000000000022E-3</v>
      </c>
      <c r="V127" s="88">
        <f t="shared" si="56"/>
        <v>-1.0070000000000218E-4</v>
      </c>
    </row>
    <row r="128" spans="1:24" ht="15.6">
      <c r="A128" s="167">
        <v>111</v>
      </c>
      <c r="B128" s="160" t="s">
        <v>185</v>
      </c>
      <c r="C128" s="159" t="s">
        <v>139</v>
      </c>
      <c r="D128" s="62">
        <f>1072393.14*1666.413</f>
        <v>1787049869.6068199</v>
      </c>
      <c r="E128" s="59">
        <f t="shared" si="50"/>
        <v>1.0002391848406185E-3</v>
      </c>
      <c r="F128" s="62">
        <f>1.09*1666.413</f>
        <v>1816.3901700000001</v>
      </c>
      <c r="G128" s="62">
        <f>1.11*1666.413</f>
        <v>1849.7184300000001</v>
      </c>
      <c r="H128" s="61">
        <v>38</v>
      </c>
      <c r="I128" s="80">
        <v>5.4999999999999997E-3</v>
      </c>
      <c r="J128" s="80">
        <v>0.1028</v>
      </c>
      <c r="K128" s="62">
        <v>1770387306.78</v>
      </c>
      <c r="L128" s="59">
        <f t="shared" si="51"/>
        <v>9.8024014070945088E-4</v>
      </c>
      <c r="M128" s="62">
        <f>1.1*1655.882</f>
        <v>1821.4702000000002</v>
      </c>
      <c r="N128" s="62">
        <f>1.13*1655.882</f>
        <v>1871.1466599999999</v>
      </c>
      <c r="O128" s="61">
        <v>38</v>
      </c>
      <c r="P128" s="80">
        <v>0.1028</v>
      </c>
      <c r="Q128" s="80">
        <v>0.1028</v>
      </c>
      <c r="R128" s="87">
        <f t="shared" si="52"/>
        <v>-9.3240614658873129E-3</v>
      </c>
      <c r="S128" s="87">
        <f t="shared" si="53"/>
        <v>1.1584590201655587E-2</v>
      </c>
      <c r="T128" s="87">
        <f t="shared" si="54"/>
        <v>0</v>
      </c>
      <c r="U128" s="87">
        <f t="shared" si="55"/>
        <v>9.7299999999999998E-2</v>
      </c>
      <c r="V128" s="88">
        <f t="shared" si="56"/>
        <v>0</v>
      </c>
      <c r="X128" s="99"/>
    </row>
    <row r="129" spans="1:24" ht="15.6">
      <c r="A129" s="167">
        <v>112</v>
      </c>
      <c r="B129" s="160" t="s">
        <v>186</v>
      </c>
      <c r="C129" s="159" t="s">
        <v>46</v>
      </c>
      <c r="D129" s="58">
        <f>2089037.5*1666.413</f>
        <v>3481199247.4875002</v>
      </c>
      <c r="E129" s="59">
        <f t="shared" si="50"/>
        <v>1.9484805414751942E-3</v>
      </c>
      <c r="F129" s="62">
        <f>10.5*1666.413</f>
        <v>17497.336500000001</v>
      </c>
      <c r="G129" s="62">
        <f>10.5*1666.413</f>
        <v>17497.336500000001</v>
      </c>
      <c r="H129" s="61">
        <v>68</v>
      </c>
      <c r="I129" s="80">
        <v>7.5399999999999995E-2</v>
      </c>
      <c r="J129" s="80">
        <v>9.5500000000000002E-2</v>
      </c>
      <c r="K129" s="58">
        <f>2097048.27*1655.882</f>
        <v>3472464483.42414</v>
      </c>
      <c r="L129" s="59">
        <f t="shared" si="51"/>
        <v>1.922657861816242E-3</v>
      </c>
      <c r="M129" s="62">
        <f>10.51*1655.882</f>
        <v>17403.319820000001</v>
      </c>
      <c r="N129" s="62">
        <f>10.51*1655.882</f>
        <v>17403.319820000001</v>
      </c>
      <c r="O129" s="61">
        <v>68</v>
      </c>
      <c r="P129" s="80">
        <v>7.7700000000000005E-2</v>
      </c>
      <c r="Q129" s="80">
        <v>9.7799999999999998E-2</v>
      </c>
      <c r="R129" s="87">
        <f t="shared" si="52"/>
        <v>-2.5091250004332243E-3</v>
      </c>
      <c r="S129" s="87">
        <f t="shared" si="53"/>
        <v>-5.3731995152519717E-3</v>
      </c>
      <c r="T129" s="87">
        <f t="shared" si="54"/>
        <v>0</v>
      </c>
      <c r="U129" s="87">
        <f t="shared" si="55"/>
        <v>2.3000000000000104E-3</v>
      </c>
      <c r="V129" s="88">
        <f t="shared" si="56"/>
        <v>2.2999999999999965E-3</v>
      </c>
      <c r="X129" s="99"/>
    </row>
    <row r="130" spans="1:24" ht="15.6">
      <c r="A130" s="167">
        <v>113</v>
      </c>
      <c r="B130" s="159" t="s">
        <v>187</v>
      </c>
      <c r="C130" s="161" t="s">
        <v>50</v>
      </c>
      <c r="D130" s="62">
        <v>24025864256</v>
      </c>
      <c r="E130" s="59">
        <f t="shared" si="50"/>
        <v>1.3447644236028029E-2</v>
      </c>
      <c r="F130" s="62">
        <f>1.0603*1666.413</f>
        <v>1766.8977039000001</v>
      </c>
      <c r="G130" s="62">
        <f>1.0603*1666.413</f>
        <v>1766.8977039000001</v>
      </c>
      <c r="H130" s="61">
        <v>371</v>
      </c>
      <c r="I130" s="80">
        <v>3.8999999999999998E-3</v>
      </c>
      <c r="J130" s="80">
        <v>9.5000000000000001E-2</v>
      </c>
      <c r="K130" s="62">
        <v>24025864256</v>
      </c>
      <c r="L130" s="59">
        <f t="shared" si="51"/>
        <v>1.3302804685039592E-2</v>
      </c>
      <c r="M130" s="62">
        <f>1.0603*1655.882</f>
        <v>1755.7316846000001</v>
      </c>
      <c r="N130" s="62">
        <f>1.0603*1655.882</f>
        <v>1755.7316846000001</v>
      </c>
      <c r="O130" s="61">
        <v>371</v>
      </c>
      <c r="P130" s="80">
        <v>3.8999999999999998E-3</v>
      </c>
      <c r="Q130" s="80">
        <v>9.5000000000000001E-2</v>
      </c>
      <c r="R130" s="87">
        <f t="shared" si="52"/>
        <v>0</v>
      </c>
      <c r="S130" s="87">
        <f t="shared" si="53"/>
        <v>-6.3195618373116475E-3</v>
      </c>
      <c r="T130" s="87">
        <f t="shared" si="54"/>
        <v>0</v>
      </c>
      <c r="U130" s="87">
        <f t="shared" si="55"/>
        <v>0</v>
      </c>
      <c r="V130" s="88">
        <f t="shared" si="56"/>
        <v>0</v>
      </c>
      <c r="X130" s="99"/>
    </row>
    <row r="131" spans="1:24">
      <c r="A131" s="167">
        <v>114</v>
      </c>
      <c r="B131" s="160" t="s">
        <v>188</v>
      </c>
      <c r="C131" s="159" t="s">
        <v>95</v>
      </c>
      <c r="D131" s="58">
        <f>331437.92*1664.91</f>
        <v>551814307.3872</v>
      </c>
      <c r="E131" s="59">
        <f t="shared" si="50"/>
        <v>3.0885892016309569E-4</v>
      </c>
      <c r="F131" s="62">
        <f>1.09*1664.91</f>
        <v>1814.7519000000002</v>
      </c>
      <c r="G131" s="62">
        <f>1.09*1664.91</f>
        <v>1814.7519000000002</v>
      </c>
      <c r="H131" s="61">
        <v>3</v>
      </c>
      <c r="I131" s="80">
        <v>-3.7079999999999999E-3</v>
      </c>
      <c r="J131" s="80">
        <v>5.4350999999999997E-2</v>
      </c>
      <c r="K131" s="58">
        <f>336992.77*1673.15</f>
        <v>563839453.12550008</v>
      </c>
      <c r="L131" s="59">
        <f t="shared" si="51"/>
        <v>3.1219048100527419E-4</v>
      </c>
      <c r="M131" s="62">
        <f>1.11*1673.15</f>
        <v>1857.1965000000002</v>
      </c>
      <c r="N131" s="62">
        <f>1.09*1673.15</f>
        <v>1823.7335000000003</v>
      </c>
      <c r="O131" s="61">
        <v>3</v>
      </c>
      <c r="P131" s="80">
        <v>1.6760000000000001E-2</v>
      </c>
      <c r="Q131" s="80">
        <v>7.2022000000000003E-2</v>
      </c>
      <c r="R131" s="87">
        <f t="shared" si="52"/>
        <v>2.1792015135015729E-2</v>
      </c>
      <c r="S131" s="87">
        <f t="shared" si="53"/>
        <v>4.9492164741638074E-3</v>
      </c>
      <c r="T131" s="87">
        <f t="shared" si="54"/>
        <v>0</v>
      </c>
      <c r="U131" s="87">
        <f t="shared" si="55"/>
        <v>2.0468E-2</v>
      </c>
      <c r="V131" s="88">
        <f t="shared" si="56"/>
        <v>1.7671000000000006E-2</v>
      </c>
    </row>
    <row r="132" spans="1:24">
      <c r="A132" s="167">
        <v>115</v>
      </c>
      <c r="B132" s="160" t="s">
        <v>189</v>
      </c>
      <c r="C132" s="159" t="s">
        <v>52</v>
      </c>
      <c r="D132" s="58">
        <v>1033722045457.39</v>
      </c>
      <c r="E132" s="59">
        <f t="shared" si="50"/>
        <v>0.57859006269789581</v>
      </c>
      <c r="F132" s="62">
        <v>2592.1</v>
      </c>
      <c r="G132" s="62">
        <v>2592.1</v>
      </c>
      <c r="H132" s="61">
        <v>8802</v>
      </c>
      <c r="I132" s="80">
        <v>1.4E-3</v>
      </c>
      <c r="J132" s="80">
        <v>6.2899999999999998E-2</v>
      </c>
      <c r="K132" s="58">
        <v>1049425906458.9399</v>
      </c>
      <c r="L132" s="59">
        <f t="shared" si="51"/>
        <v>0.58105330639906483</v>
      </c>
      <c r="M132" s="62">
        <v>2608.44</v>
      </c>
      <c r="N132" s="62">
        <v>2608.44</v>
      </c>
      <c r="O132" s="61">
        <v>8871</v>
      </c>
      <c r="P132" s="80">
        <v>1.2999999999999999E-3</v>
      </c>
      <c r="Q132" s="80">
        <v>6.4399999999999999E-2</v>
      </c>
      <c r="R132" s="87">
        <f t="shared" si="52"/>
        <v>1.5191570181326117E-2</v>
      </c>
      <c r="S132" s="87">
        <f t="shared" si="53"/>
        <v>6.3037691447089799E-3</v>
      </c>
      <c r="T132" s="87">
        <f t="shared" si="54"/>
        <v>7.8391274710293123E-3</v>
      </c>
      <c r="U132" s="87">
        <f t="shared" si="55"/>
        <v>-1.0000000000000005E-4</v>
      </c>
      <c r="V132" s="88">
        <f t="shared" si="56"/>
        <v>1.5000000000000013E-3</v>
      </c>
    </row>
    <row r="133" spans="1:24" ht="16.5" customHeight="1">
      <c r="A133" s="167">
        <v>116</v>
      </c>
      <c r="B133" s="160" t="s">
        <v>190</v>
      </c>
      <c r="C133" s="159" t="s">
        <v>55</v>
      </c>
      <c r="D133" s="58">
        <f>69853221.42*1666.72</f>
        <v>116425761205.14241</v>
      </c>
      <c r="E133" s="59">
        <f t="shared" si="50"/>
        <v>6.5165281877613099E-2</v>
      </c>
      <c r="F133" s="62">
        <f>1.1507*1666.72</f>
        <v>1917.894704</v>
      </c>
      <c r="G133" s="62">
        <f>1.1507*1666.72</f>
        <v>1917.894704</v>
      </c>
      <c r="H133" s="61">
        <v>432</v>
      </c>
      <c r="I133" s="80">
        <v>9.9900000000000003E-2</v>
      </c>
      <c r="J133" s="80">
        <v>8.9700000000000002E-2</v>
      </c>
      <c r="K133" s="58">
        <f>70005416.82*1678.87</f>
        <v>117529994136.59338</v>
      </c>
      <c r="L133" s="59">
        <f t="shared" si="51"/>
        <v>6.5074810211770071E-2</v>
      </c>
      <c r="M133" s="62">
        <f>1.1528*1678.87</f>
        <v>1935.4013359999999</v>
      </c>
      <c r="N133" s="62">
        <f>1.1528*1678.87</f>
        <v>1935.4013359999999</v>
      </c>
      <c r="O133" s="61">
        <v>445</v>
      </c>
      <c r="P133" s="80">
        <v>9.9699999999999997E-2</v>
      </c>
      <c r="Q133" s="80">
        <v>8.9899999999999994E-2</v>
      </c>
      <c r="R133" s="87">
        <f t="shared" si="52"/>
        <v>9.4844381520109884E-3</v>
      </c>
      <c r="S133" s="87">
        <f t="shared" si="53"/>
        <v>9.1280464790312356E-3</v>
      </c>
      <c r="T133" s="87">
        <f t="shared" si="54"/>
        <v>3.0092592592592591E-2</v>
      </c>
      <c r="U133" s="87">
        <f t="shared" si="55"/>
        <v>-2.0000000000000573E-4</v>
      </c>
      <c r="V133" s="88">
        <f t="shared" si="56"/>
        <v>1.9999999999999185E-4</v>
      </c>
    </row>
    <row r="134" spans="1:24" ht="16.5" customHeight="1">
      <c r="A134" s="167">
        <v>117</v>
      </c>
      <c r="B134" s="160" t="s">
        <v>191</v>
      </c>
      <c r="C134" s="159" t="s">
        <v>100</v>
      </c>
      <c r="D134" s="62">
        <v>689847492.17725897</v>
      </c>
      <c r="E134" s="59">
        <v>0</v>
      </c>
      <c r="F134" s="62">
        <v>169787.52179999999</v>
      </c>
      <c r="G134" s="62">
        <v>169787.52179999999</v>
      </c>
      <c r="H134" s="61">
        <v>20</v>
      </c>
      <c r="I134" s="80">
        <v>8.0000000000000004E-4</v>
      </c>
      <c r="J134" s="80">
        <v>4.8399999999999999E-2</v>
      </c>
      <c r="K134" s="62">
        <v>694144540.10782659</v>
      </c>
      <c r="L134" s="59">
        <f t="shared" si="51"/>
        <v>3.8433869191344556E-4</v>
      </c>
      <c r="M134" s="62">
        <v>170845.34650000001</v>
      </c>
      <c r="N134" s="62">
        <v>170845.34650000001</v>
      </c>
      <c r="O134" s="61">
        <v>20</v>
      </c>
      <c r="P134" s="80">
        <v>1.2999999999999999E-3</v>
      </c>
      <c r="Q134" s="80">
        <v>6.6500000000000004E-2</v>
      </c>
      <c r="R134" s="87">
        <f t="shared" si="52"/>
        <v>6.2289824624940137E-3</v>
      </c>
      <c r="S134" s="87">
        <f t="shared" si="53"/>
        <v>6.2302852929680174E-3</v>
      </c>
      <c r="T134" s="87">
        <f t="shared" si="54"/>
        <v>0</v>
      </c>
      <c r="U134" s="87">
        <f t="shared" si="55"/>
        <v>4.999999999999999E-4</v>
      </c>
      <c r="V134" s="88">
        <f t="shared" si="56"/>
        <v>1.8100000000000005E-2</v>
      </c>
    </row>
    <row r="135" spans="1:24">
      <c r="A135" s="167">
        <v>118</v>
      </c>
      <c r="B135" s="160" t="s">
        <v>192</v>
      </c>
      <c r="C135" s="159" t="s">
        <v>114</v>
      </c>
      <c r="D135" s="62">
        <f>1050061.62*1666.413</f>
        <v>1749836334.3690603</v>
      </c>
      <c r="E135" s="59">
        <f>(D135/$D$136)</f>
        <v>9.7941019915627156E-4</v>
      </c>
      <c r="F135" s="62">
        <f>1.228*1666.413</f>
        <v>2046.3551640000001</v>
      </c>
      <c r="G135" s="62">
        <f>1.228*1666.413</f>
        <v>2046.3551640000001</v>
      </c>
      <c r="H135" s="61">
        <v>58</v>
      </c>
      <c r="I135" s="80">
        <v>1.7539999999999999E-3</v>
      </c>
      <c r="J135" s="80">
        <v>0.11595800000000001</v>
      </c>
      <c r="K135" s="62">
        <f>1081797.79*1655.882</f>
        <v>1791329488.10078</v>
      </c>
      <c r="L135" s="59">
        <f t="shared" si="51"/>
        <v>9.9183555075674809E-4</v>
      </c>
      <c r="M135" s="62">
        <f>1.228*1666.413</f>
        <v>2046.3551640000001</v>
      </c>
      <c r="N135" s="62">
        <f>1.228*1666.413</f>
        <v>2046.3551640000001</v>
      </c>
      <c r="O135" s="61">
        <v>58</v>
      </c>
      <c r="P135" s="80">
        <v>-1.498E-3</v>
      </c>
      <c r="Q135" s="80">
        <v>0.114287</v>
      </c>
      <c r="R135" s="87">
        <f t="shared" si="52"/>
        <v>2.3712591238814886E-2</v>
      </c>
      <c r="S135" s="87">
        <f t="shared" si="53"/>
        <v>0</v>
      </c>
      <c r="T135" s="87">
        <f t="shared" si="54"/>
        <v>0</v>
      </c>
      <c r="U135" s="87">
        <f t="shared" si="55"/>
        <v>-3.2519999999999997E-3</v>
      </c>
      <c r="V135" s="88">
        <f t="shared" si="56"/>
        <v>-1.6710000000000058E-3</v>
      </c>
    </row>
    <row r="136" spans="1:24">
      <c r="A136" s="65"/>
      <c r="B136" s="66"/>
      <c r="C136" s="103" t="s">
        <v>56</v>
      </c>
      <c r="D136" s="78">
        <f>SUM(D106:D135)</f>
        <v>1786622536580.1626</v>
      </c>
      <c r="E136" s="69">
        <f>(D136/$D$206)</f>
        <v>0.47566223533780744</v>
      </c>
      <c r="F136" s="70"/>
      <c r="G136" s="75"/>
      <c r="H136" s="72">
        <f>SUM(H106:H135)</f>
        <v>20655</v>
      </c>
      <c r="I136" s="112"/>
      <c r="J136" s="112"/>
      <c r="K136" s="78">
        <f>SUM(K106:K135)</f>
        <v>1806075096556.1135</v>
      </c>
      <c r="L136" s="69">
        <f>(K136/$K$206)</f>
        <v>0.47759498789261529</v>
      </c>
      <c r="M136" s="70"/>
      <c r="N136" s="75"/>
      <c r="O136" s="72">
        <f>SUM(O106:O135)</f>
        <v>20778</v>
      </c>
      <c r="P136" s="112"/>
      <c r="Q136" s="112"/>
      <c r="R136" s="87">
        <f t="shared" si="52"/>
        <v>1.0887895779701605E-2</v>
      </c>
      <c r="S136" s="87" t="e">
        <f t="shared" si="53"/>
        <v>#DIV/0!</v>
      </c>
      <c r="T136" s="87">
        <f t="shared" si="54"/>
        <v>5.9549745824255627E-3</v>
      </c>
      <c r="U136" s="87">
        <f t="shared" si="55"/>
        <v>0</v>
      </c>
      <c r="V136" s="88">
        <f t="shared" si="56"/>
        <v>0</v>
      </c>
    </row>
    <row r="137" spans="1:24" ht="6" customHeight="1">
      <c r="A137" s="65"/>
      <c r="B137" s="172"/>
      <c r="C137" s="172"/>
      <c r="D137" s="172"/>
      <c r="E137" s="172"/>
      <c r="F137" s="172"/>
      <c r="G137" s="172"/>
      <c r="H137" s="172"/>
      <c r="I137" s="172"/>
      <c r="J137" s="172"/>
      <c r="K137" s="172"/>
      <c r="L137" s="172"/>
      <c r="M137" s="172"/>
      <c r="N137" s="172"/>
      <c r="O137" s="172"/>
      <c r="P137" s="172"/>
      <c r="Q137" s="172"/>
      <c r="R137" s="172"/>
      <c r="S137" s="172"/>
      <c r="T137" s="172"/>
      <c r="U137" s="172"/>
      <c r="V137" s="172"/>
    </row>
    <row r="138" spans="1:24">
      <c r="A138" s="174" t="s">
        <v>193</v>
      </c>
      <c r="B138" s="174"/>
      <c r="C138" s="174"/>
      <c r="D138" s="174"/>
      <c r="E138" s="174"/>
      <c r="F138" s="174"/>
      <c r="G138" s="174"/>
      <c r="H138" s="174"/>
      <c r="I138" s="174"/>
      <c r="J138" s="174"/>
      <c r="K138" s="174"/>
      <c r="L138" s="174"/>
      <c r="M138" s="174"/>
      <c r="N138" s="174"/>
      <c r="O138" s="174"/>
      <c r="P138" s="174"/>
      <c r="Q138" s="174"/>
      <c r="R138" s="174"/>
      <c r="S138" s="174"/>
      <c r="T138" s="174"/>
      <c r="U138" s="174"/>
      <c r="V138" s="174"/>
    </row>
    <row r="139" spans="1:24">
      <c r="A139" s="167">
        <v>119</v>
      </c>
      <c r="B139" s="160" t="s">
        <v>194</v>
      </c>
      <c r="C139" s="159" t="s">
        <v>195</v>
      </c>
      <c r="D139" s="104">
        <v>2472019955.3274398</v>
      </c>
      <c r="E139" s="59">
        <f>(D139/$D$144)</f>
        <v>2.4981729035412157E-2</v>
      </c>
      <c r="F139" s="90">
        <v>116.49</v>
      </c>
      <c r="G139" s="90">
        <v>116.49</v>
      </c>
      <c r="H139" s="61">
        <v>7</v>
      </c>
      <c r="I139" s="80">
        <v>6.1999999999999998E-3</v>
      </c>
      <c r="J139" s="80">
        <v>0.13969999999999999</v>
      </c>
      <c r="K139" s="104">
        <v>2574525045.2013502</v>
      </c>
      <c r="L139" s="59">
        <f>(K139/$K$144)</f>
        <v>2.5983870996024724E-2</v>
      </c>
      <c r="M139" s="90">
        <v>121.33</v>
      </c>
      <c r="N139" s="90">
        <v>116.49</v>
      </c>
      <c r="O139" s="61">
        <v>7</v>
      </c>
      <c r="P139" s="80">
        <v>4.1548630783758297E-2</v>
      </c>
      <c r="Q139" s="80">
        <v>0.180211534518008</v>
      </c>
      <c r="R139" s="87">
        <f t="shared" ref="R139:R144" si="57">((K139-D139)/D139)</f>
        <v>4.146612556787907E-2</v>
      </c>
      <c r="S139" s="87">
        <f t="shared" ref="S139:T144" si="58">((N139-G139)/G139)</f>
        <v>0</v>
      </c>
      <c r="T139" s="87">
        <f t="shared" si="58"/>
        <v>0</v>
      </c>
      <c r="U139" s="87">
        <f t="shared" ref="U139:V144" si="59">P139-I139</f>
        <v>3.53486307837583E-2</v>
      </c>
      <c r="V139" s="88">
        <f t="shared" si="59"/>
        <v>4.0511534518008013E-2</v>
      </c>
    </row>
    <row r="140" spans="1:24">
      <c r="A140" s="167">
        <v>120</v>
      </c>
      <c r="B140" s="160" t="s">
        <v>196</v>
      </c>
      <c r="C140" s="159" t="s">
        <v>50</v>
      </c>
      <c r="D140" s="58">
        <v>53749983529</v>
      </c>
      <c r="E140" s="59">
        <f>(D140/$D$144)</f>
        <v>0.54318636113173435</v>
      </c>
      <c r="F140" s="90">
        <v>102.5</v>
      </c>
      <c r="G140" s="90">
        <v>102.5</v>
      </c>
      <c r="H140" s="61">
        <v>666</v>
      </c>
      <c r="I140" s="80">
        <v>0</v>
      </c>
      <c r="J140" s="80">
        <v>7.6999999999999999E-2</v>
      </c>
      <c r="K140" s="58">
        <v>53749983529</v>
      </c>
      <c r="L140" s="59">
        <f>(K140/$K$144)</f>
        <v>0.54248166692305799</v>
      </c>
      <c r="M140" s="90">
        <v>102.5</v>
      </c>
      <c r="N140" s="90">
        <v>102.5</v>
      </c>
      <c r="O140" s="61">
        <v>666</v>
      </c>
      <c r="P140" s="80">
        <v>0</v>
      </c>
      <c r="Q140" s="80">
        <v>7.6999999999999999E-2</v>
      </c>
      <c r="R140" s="87">
        <f t="shared" si="57"/>
        <v>0</v>
      </c>
      <c r="S140" s="87">
        <f t="shared" si="58"/>
        <v>0</v>
      </c>
      <c r="T140" s="87">
        <f t="shared" si="58"/>
        <v>0</v>
      </c>
      <c r="U140" s="87">
        <f t="shared" si="59"/>
        <v>0</v>
      </c>
      <c r="V140" s="88">
        <f t="shared" si="59"/>
        <v>0</v>
      </c>
    </row>
    <row r="141" spans="1:24" ht="15.75" customHeight="1">
      <c r="A141" s="167">
        <v>121</v>
      </c>
      <c r="B141" s="160" t="s">
        <v>197</v>
      </c>
      <c r="C141" s="159" t="s">
        <v>149</v>
      </c>
      <c r="D141" s="58">
        <v>2648160510.3699999</v>
      </c>
      <c r="E141" s="59">
        <f>(D141/$D$144)</f>
        <v>2.6761769527697536E-2</v>
      </c>
      <c r="F141" s="90">
        <v>179.45</v>
      </c>
      <c r="G141" s="90">
        <v>179.45</v>
      </c>
      <c r="H141" s="61">
        <v>2834</v>
      </c>
      <c r="I141" s="80">
        <v>1.2905</v>
      </c>
      <c r="J141" s="80">
        <v>7.85E-2</v>
      </c>
      <c r="K141" s="58">
        <v>2652284951.2431002</v>
      </c>
      <c r="L141" s="59">
        <f>(K141/$K$144)</f>
        <v>2.6768677254180123E-2</v>
      </c>
      <c r="M141" s="90">
        <v>147.11000000000001</v>
      </c>
      <c r="N141" s="90">
        <v>147.11000000000001</v>
      </c>
      <c r="O141" s="61">
        <v>2834</v>
      </c>
      <c r="P141" s="80">
        <v>0.98923572449590602</v>
      </c>
      <c r="Q141" s="80">
        <v>8.6558475420480799E-2</v>
      </c>
      <c r="R141" s="87">
        <f t="shared" si="57"/>
        <v>1.557473898183013E-3</v>
      </c>
      <c r="S141" s="87">
        <f t="shared" si="58"/>
        <v>-0.18021733073279453</v>
      </c>
      <c r="T141" s="87">
        <f t="shared" si="58"/>
        <v>0</v>
      </c>
      <c r="U141" s="87">
        <f t="shared" si="59"/>
        <v>-0.30126427550409396</v>
      </c>
      <c r="V141" s="88">
        <f t="shared" si="59"/>
        <v>8.0584754204807985E-3</v>
      </c>
    </row>
    <row r="142" spans="1:24">
      <c r="A142" s="167">
        <v>122</v>
      </c>
      <c r="B142" s="160" t="s">
        <v>198</v>
      </c>
      <c r="C142" s="159" t="s">
        <v>149</v>
      </c>
      <c r="D142" s="58">
        <v>10255288785.77</v>
      </c>
      <c r="E142" s="59">
        <f>(D142/$D$144)</f>
        <v>0.10363785497519253</v>
      </c>
      <c r="F142" s="90">
        <v>36.6</v>
      </c>
      <c r="G142" s="90">
        <v>36.6</v>
      </c>
      <c r="H142" s="61">
        <v>5260</v>
      </c>
      <c r="I142" s="80">
        <v>9.0663628031392197E-3</v>
      </c>
      <c r="J142" s="80">
        <v>0.19703960015378699</v>
      </c>
      <c r="K142" s="58">
        <v>10271665610.91</v>
      </c>
      <c r="L142" s="59">
        <f>(K142/$K$144)</f>
        <v>0.10366868818994736</v>
      </c>
      <c r="M142" s="90">
        <v>57.75</v>
      </c>
      <c r="N142" s="90">
        <v>57.75</v>
      </c>
      <c r="O142" s="61">
        <v>5260</v>
      </c>
      <c r="P142" s="80">
        <v>6.3453536754507905E-2</v>
      </c>
      <c r="Q142" s="80">
        <v>0.19674403307648899</v>
      </c>
      <c r="R142" s="87">
        <f t="shared" si="57"/>
        <v>1.5969150632523864E-3</v>
      </c>
      <c r="S142" s="87">
        <f t="shared" si="58"/>
        <v>0.57786885245901631</v>
      </c>
      <c r="T142" s="87">
        <f t="shared" si="58"/>
        <v>0</v>
      </c>
      <c r="U142" s="87">
        <f t="shared" si="59"/>
        <v>5.4387173951368689E-2</v>
      </c>
      <c r="V142" s="88">
        <f t="shared" si="59"/>
        <v>-2.9556707729799792E-4</v>
      </c>
    </row>
    <row r="143" spans="1:24">
      <c r="A143" s="167">
        <v>123</v>
      </c>
      <c r="B143" s="160" t="s">
        <v>199</v>
      </c>
      <c r="C143" s="159" t="s">
        <v>52</v>
      </c>
      <c r="D143" s="58">
        <v>29827664188.470001</v>
      </c>
      <c r="E143" s="59">
        <f>(D143/$D$144)</f>
        <v>0.30143228532996347</v>
      </c>
      <c r="F143" s="90">
        <v>5.45</v>
      </c>
      <c r="G143" s="90">
        <v>5.45</v>
      </c>
      <c r="H143" s="61">
        <v>208159</v>
      </c>
      <c r="I143" s="80">
        <v>3.8100000000000002E-2</v>
      </c>
      <c r="J143" s="80">
        <v>-0.1484</v>
      </c>
      <c r="K143" s="58">
        <v>29833199851.07</v>
      </c>
      <c r="L143" s="59">
        <f>(K143/$K$144)</f>
        <v>0.30109709663678991</v>
      </c>
      <c r="M143" s="90">
        <v>5.45</v>
      </c>
      <c r="N143" s="90">
        <v>5.45</v>
      </c>
      <c r="O143" s="61">
        <v>208116</v>
      </c>
      <c r="P143" s="80">
        <v>0</v>
      </c>
      <c r="Q143" s="80">
        <v>-0.1484</v>
      </c>
      <c r="R143" s="87">
        <f t="shared" si="57"/>
        <v>1.8558820311978389E-4</v>
      </c>
      <c r="S143" s="87">
        <f t="shared" si="58"/>
        <v>0</v>
      </c>
      <c r="T143" s="87">
        <f t="shared" si="58"/>
        <v>-2.0657286016938974E-4</v>
      </c>
      <c r="U143" s="87">
        <f t="shared" si="59"/>
        <v>-3.8100000000000002E-2</v>
      </c>
      <c r="V143" s="88">
        <f t="shared" si="59"/>
        <v>0</v>
      </c>
    </row>
    <row r="144" spans="1:24">
      <c r="A144" s="65"/>
      <c r="B144" s="105"/>
      <c r="C144" s="67" t="s">
        <v>56</v>
      </c>
      <c r="D144" s="68">
        <f>SUM(D139:D143)</f>
        <v>98953116968.937439</v>
      </c>
      <c r="E144" s="69">
        <f>(D144/$D$206)</f>
        <v>2.6344826535762464E-2</v>
      </c>
      <c r="F144" s="70"/>
      <c r="G144" s="106"/>
      <c r="H144" s="72">
        <f>SUM(H139:H143)</f>
        <v>216926</v>
      </c>
      <c r="I144" s="113"/>
      <c r="J144" s="113"/>
      <c r="K144" s="68">
        <f>SUM(K139:K143)</f>
        <v>99081658987.424438</v>
      </c>
      <c r="L144" s="69">
        <f>(K144/$K$206)</f>
        <v>2.620096130814956E-2</v>
      </c>
      <c r="M144" s="70"/>
      <c r="N144" s="106"/>
      <c r="O144" s="72">
        <f>SUM(O139:O143)</f>
        <v>216883</v>
      </c>
      <c r="P144" s="113"/>
      <c r="Q144" s="113"/>
      <c r="R144" s="87">
        <f t="shared" si="57"/>
        <v>1.2990193985233469E-3</v>
      </c>
      <c r="S144" s="87" t="e">
        <f t="shared" si="58"/>
        <v>#DIV/0!</v>
      </c>
      <c r="T144" s="87">
        <f t="shared" si="58"/>
        <v>-1.9822427924730092E-4</v>
      </c>
      <c r="U144" s="87">
        <f t="shared" si="59"/>
        <v>0</v>
      </c>
      <c r="V144" s="88">
        <f t="shared" si="59"/>
        <v>0</v>
      </c>
    </row>
    <row r="145" spans="1:22" ht="5.25" customHeight="1">
      <c r="A145" s="65"/>
      <c r="B145" s="172"/>
      <c r="C145" s="172"/>
      <c r="D145" s="172"/>
      <c r="E145" s="172"/>
      <c r="F145" s="172"/>
      <c r="G145" s="172"/>
      <c r="H145" s="172"/>
      <c r="I145" s="172"/>
      <c r="J145" s="172"/>
      <c r="K145" s="172"/>
      <c r="L145" s="172"/>
      <c r="M145" s="172"/>
      <c r="N145" s="172"/>
      <c r="O145" s="172"/>
      <c r="P145" s="172"/>
      <c r="Q145" s="172"/>
      <c r="R145" s="172"/>
      <c r="S145" s="172"/>
      <c r="T145" s="172"/>
      <c r="U145" s="172"/>
      <c r="V145" s="172"/>
    </row>
    <row r="146" spans="1:22" ht="15" customHeight="1">
      <c r="A146" s="174" t="s">
        <v>200</v>
      </c>
      <c r="B146" s="174"/>
      <c r="C146" s="174"/>
      <c r="D146" s="174"/>
      <c r="E146" s="174"/>
      <c r="F146" s="174"/>
      <c r="G146" s="174"/>
      <c r="H146" s="174"/>
      <c r="I146" s="174"/>
      <c r="J146" s="174"/>
      <c r="K146" s="174"/>
      <c r="L146" s="174"/>
      <c r="M146" s="174"/>
      <c r="N146" s="174"/>
      <c r="O146" s="174"/>
      <c r="P146" s="174"/>
      <c r="Q146" s="174"/>
      <c r="R146" s="174"/>
      <c r="S146" s="174"/>
      <c r="T146" s="174"/>
      <c r="U146" s="174"/>
      <c r="V146" s="174"/>
    </row>
    <row r="147" spans="1:22">
      <c r="A147" s="167">
        <v>124</v>
      </c>
      <c r="B147" s="160" t="s">
        <v>201</v>
      </c>
      <c r="C147" s="159" t="s">
        <v>60</v>
      </c>
      <c r="D147" s="62">
        <v>249951817.47</v>
      </c>
      <c r="E147" s="59">
        <f t="shared" ref="E147:E175" si="60">(D147/$D$176)</f>
        <v>4.7363299669867858E-3</v>
      </c>
      <c r="F147" s="62">
        <v>5.59</v>
      </c>
      <c r="G147" s="62">
        <v>5.67</v>
      </c>
      <c r="H147" s="63">
        <v>11835</v>
      </c>
      <c r="I147" s="81">
        <v>-3.1809999999999998E-3</v>
      </c>
      <c r="J147" s="81">
        <v>0.1116</v>
      </c>
      <c r="K147" s="62">
        <v>251187982.09</v>
      </c>
      <c r="L147" s="84">
        <f t="shared" ref="L147:L175" si="61">(K147/$K$176)</f>
        <v>4.7442597243196535E-3</v>
      </c>
      <c r="M147" s="62">
        <v>5.62</v>
      </c>
      <c r="N147" s="62">
        <v>5.7</v>
      </c>
      <c r="O147" s="63">
        <v>11835</v>
      </c>
      <c r="P147" s="81">
        <v>5.3689999999999996E-3</v>
      </c>
      <c r="Q147" s="81">
        <v>0.11700000000000001</v>
      </c>
      <c r="R147" s="87">
        <f>((K147-D147)/D147)</f>
        <v>4.945611648326474E-3</v>
      </c>
      <c r="S147" s="87">
        <f>((N147-G147)/G147)</f>
        <v>5.2910052910053349E-3</v>
      </c>
      <c r="T147" s="87">
        <f>((O147-H147)/H147)</f>
        <v>0</v>
      </c>
      <c r="U147" s="87">
        <f>P147-I147</f>
        <v>8.5499999999999986E-3</v>
      </c>
      <c r="V147" s="88">
        <f>Q147-J147</f>
        <v>5.400000000000002E-3</v>
      </c>
    </row>
    <row r="148" spans="1:22">
      <c r="A148" s="167">
        <v>125</v>
      </c>
      <c r="B148" s="160" t="s">
        <v>202</v>
      </c>
      <c r="C148" s="160" t="s">
        <v>203</v>
      </c>
      <c r="D148" s="62">
        <v>567640978.44653201</v>
      </c>
      <c r="E148" s="59">
        <f t="shared" si="60"/>
        <v>1.0756212953037225E-2</v>
      </c>
      <c r="F148" s="62">
        <v>1330.73309597607</v>
      </c>
      <c r="G148" s="62">
        <v>1346.50894791275</v>
      </c>
      <c r="H148" s="63">
        <v>160</v>
      </c>
      <c r="I148" s="81">
        <v>6.6875907863329798E-3</v>
      </c>
      <c r="J148" s="81">
        <v>0.18957094829957899</v>
      </c>
      <c r="K148" s="62">
        <v>570590122.90772247</v>
      </c>
      <c r="L148" s="84">
        <f t="shared" si="61"/>
        <v>1.0776899900552517E-2</v>
      </c>
      <c r="M148" s="62">
        <v>1336.7780875005878</v>
      </c>
      <c r="N148" s="62">
        <v>1352.6358206165578</v>
      </c>
      <c r="O148" s="63">
        <v>160</v>
      </c>
      <c r="P148" s="81">
        <v>4.5472149845554284E-3</v>
      </c>
      <c r="Q148" s="81">
        <v>0.19498018314087864</v>
      </c>
      <c r="R148" s="87">
        <f>((K148-D148)/D148)</f>
        <v>5.1954396760808411E-3</v>
      </c>
      <c r="S148" s="87">
        <f>((N148-G148)/G148)</f>
        <v>4.5501908571087728E-3</v>
      </c>
      <c r="T148" s="87">
        <f>((O148-H148)/H148)</f>
        <v>0</v>
      </c>
      <c r="U148" s="87">
        <f>P148-I148</f>
        <v>-2.1403758017775514E-3</v>
      </c>
      <c r="V148" s="88">
        <f>Q148-J148</f>
        <v>5.4092348412996538E-3</v>
      </c>
    </row>
    <row r="149" spans="1:22">
      <c r="A149" s="167">
        <v>126</v>
      </c>
      <c r="B149" s="160" t="s">
        <v>204</v>
      </c>
      <c r="C149" s="159" t="s">
        <v>26</v>
      </c>
      <c r="D149" s="62">
        <v>6592233173.8100004</v>
      </c>
      <c r="E149" s="59">
        <f t="shared" si="60"/>
        <v>0.12491604120553433</v>
      </c>
      <c r="F149" s="62">
        <v>769.70190000000002</v>
      </c>
      <c r="G149" s="62">
        <v>792.90890000000002</v>
      </c>
      <c r="H149" s="63">
        <v>21328</v>
      </c>
      <c r="I149" s="81">
        <v>1.0566</v>
      </c>
      <c r="J149" s="81">
        <v>0.1981</v>
      </c>
      <c r="K149" s="62">
        <v>6688309671.8699999</v>
      </c>
      <c r="L149" s="84">
        <f t="shared" si="61"/>
        <v>0.12632403005913426</v>
      </c>
      <c r="M149" s="62">
        <v>783.86310000000003</v>
      </c>
      <c r="N149" s="62">
        <v>807.49720000000002</v>
      </c>
      <c r="O149" s="63">
        <v>21341</v>
      </c>
      <c r="P149" s="81">
        <v>1.8196000000000001</v>
      </c>
      <c r="Q149" s="81">
        <v>0.18149999999999999</v>
      </c>
      <c r="R149" s="87">
        <f t="shared" ref="R149:R176" si="62">((K149-D149)/D149)</f>
        <v>1.4574195955582648E-2</v>
      </c>
      <c r="S149" s="87">
        <f t="shared" ref="S149:S176" si="63">((N149-G149)/G149)</f>
        <v>1.8398456619669681E-2</v>
      </c>
      <c r="T149" s="87">
        <f t="shared" ref="T149:T176" si="64">((O149-H149)/H149)</f>
        <v>6.095273818454614E-4</v>
      </c>
      <c r="U149" s="87">
        <f t="shared" ref="U149:U176" si="65">P149-I149</f>
        <v>0.76300000000000012</v>
      </c>
      <c r="V149" s="88">
        <f t="shared" ref="V149:V176" si="66">Q149-J149</f>
        <v>-1.6600000000000004E-2</v>
      </c>
    </row>
    <row r="150" spans="1:22">
      <c r="A150" s="167">
        <v>127</v>
      </c>
      <c r="B150" s="160" t="s">
        <v>205</v>
      </c>
      <c r="C150" s="159" t="s">
        <v>116</v>
      </c>
      <c r="D150" s="62">
        <v>3522598590.1999998</v>
      </c>
      <c r="E150" s="59">
        <f t="shared" si="60"/>
        <v>6.6749621720322769E-2</v>
      </c>
      <c r="F150" s="62">
        <v>20.431100000000001</v>
      </c>
      <c r="G150" s="62">
        <v>20.672499999999999</v>
      </c>
      <c r="H150" s="61">
        <v>6186</v>
      </c>
      <c r="I150" s="80">
        <v>7.6E-3</v>
      </c>
      <c r="J150" s="80">
        <v>0.10780000000000001</v>
      </c>
      <c r="K150" s="62">
        <v>3473929023.0500002</v>
      </c>
      <c r="L150" s="84">
        <f t="shared" si="61"/>
        <v>6.5613097458205857E-2</v>
      </c>
      <c r="M150" s="62">
        <v>20.5428</v>
      </c>
      <c r="N150" s="62">
        <v>20.772200000000002</v>
      </c>
      <c r="O150" s="61">
        <v>6186</v>
      </c>
      <c r="P150" s="80">
        <v>3.0000000000000001E-3</v>
      </c>
      <c r="Q150" s="80">
        <v>0.1135</v>
      </c>
      <c r="R150" s="87">
        <f t="shared" si="62"/>
        <v>-1.3816381828290104E-2</v>
      </c>
      <c r="S150" s="87">
        <f t="shared" si="63"/>
        <v>4.8228322650865699E-3</v>
      </c>
      <c r="T150" s="87">
        <f t="shared" si="64"/>
        <v>0</v>
      </c>
      <c r="U150" s="87">
        <f t="shared" si="65"/>
        <v>-4.5999999999999999E-3</v>
      </c>
      <c r="V150" s="88">
        <f t="shared" si="66"/>
        <v>5.6999999999999967E-3</v>
      </c>
    </row>
    <row r="151" spans="1:22">
      <c r="A151" s="167">
        <v>128</v>
      </c>
      <c r="B151" s="160" t="s">
        <v>206</v>
      </c>
      <c r="C151" s="159" t="s">
        <v>125</v>
      </c>
      <c r="D151" s="58">
        <v>1779220351.2918</v>
      </c>
      <c r="E151" s="59">
        <f t="shared" si="60"/>
        <v>3.371439645045806E-2</v>
      </c>
      <c r="F151" s="62">
        <v>4.1824000000000003</v>
      </c>
      <c r="G151" s="62">
        <v>4.2770000000000001</v>
      </c>
      <c r="H151" s="61">
        <v>2746</v>
      </c>
      <c r="I151" s="80">
        <v>0.3755</v>
      </c>
      <c r="J151" s="80">
        <v>0.45300000000000001</v>
      </c>
      <c r="K151" s="58">
        <v>1773996631.7790501</v>
      </c>
      <c r="L151" s="84">
        <f t="shared" si="61"/>
        <v>3.3505985044350296E-2</v>
      </c>
      <c r="M151" s="62">
        <v>4.1703999999999999</v>
      </c>
      <c r="N151" s="62">
        <v>4.2641999999999998</v>
      </c>
      <c r="O151" s="61">
        <v>2746</v>
      </c>
      <c r="P151" s="80">
        <v>-0.15647817228364799</v>
      </c>
      <c r="Q151" s="80">
        <v>0.43821358577548802</v>
      </c>
      <c r="R151" s="87">
        <f t="shared" si="62"/>
        <v>-2.9359598483443814E-3</v>
      </c>
      <c r="S151" s="87">
        <f t="shared" si="63"/>
        <v>-2.9927519289222274E-3</v>
      </c>
      <c r="T151" s="87">
        <f t="shared" si="64"/>
        <v>0</v>
      </c>
      <c r="U151" s="87">
        <f t="shared" si="65"/>
        <v>-0.53197817228364797</v>
      </c>
      <c r="V151" s="88">
        <f t="shared" si="66"/>
        <v>-1.478641422451199E-2</v>
      </c>
    </row>
    <row r="152" spans="1:22">
      <c r="A152" s="167">
        <v>129</v>
      </c>
      <c r="B152" s="160" t="s">
        <v>207</v>
      </c>
      <c r="C152" s="159" t="s">
        <v>68</v>
      </c>
      <c r="D152" s="62">
        <v>3230888629.3513999</v>
      </c>
      <c r="E152" s="59">
        <f t="shared" si="60"/>
        <v>6.1222017867625864E-2</v>
      </c>
      <c r="F152" s="62">
        <v>7287.9862174126802</v>
      </c>
      <c r="G152" s="62">
        <v>7347.3193889261102</v>
      </c>
      <c r="H152" s="61">
        <v>924</v>
      </c>
      <c r="I152" s="80">
        <v>0.44074494321888202</v>
      </c>
      <c r="J152" s="80">
        <v>0.31010218325356698</v>
      </c>
      <c r="K152" s="62">
        <v>3257199887.4717999</v>
      </c>
      <c r="L152" s="84">
        <f t="shared" si="61"/>
        <v>6.1519671887225069E-2</v>
      </c>
      <c r="M152" s="62">
        <v>7342.2998705714799</v>
      </c>
      <c r="N152" s="62">
        <v>7402.4261366155697</v>
      </c>
      <c r="O152" s="61">
        <v>927</v>
      </c>
      <c r="P152" s="80">
        <v>0.38965882565603399</v>
      </c>
      <c r="Q152" s="80">
        <v>0.31414075461845298</v>
      </c>
      <c r="R152" s="87">
        <f t="shared" si="62"/>
        <v>8.1436598839626142E-3</v>
      </c>
      <c r="S152" s="87">
        <f t="shared" si="63"/>
        <v>7.5002521018096091E-3</v>
      </c>
      <c r="T152" s="87">
        <f t="shared" si="64"/>
        <v>3.246753246753247E-3</v>
      </c>
      <c r="U152" s="87">
        <f t="shared" si="65"/>
        <v>-5.1086117562848032E-2</v>
      </c>
      <c r="V152" s="88">
        <f t="shared" si="66"/>
        <v>4.0385713648860011E-3</v>
      </c>
    </row>
    <row r="153" spans="1:22">
      <c r="A153" s="167">
        <v>130</v>
      </c>
      <c r="B153" s="160" t="s">
        <v>208</v>
      </c>
      <c r="C153" s="159" t="s">
        <v>70</v>
      </c>
      <c r="D153" s="62">
        <v>746547896.16999996</v>
      </c>
      <c r="E153" s="59">
        <f t="shared" si="60"/>
        <v>1.4146315110692484E-2</v>
      </c>
      <c r="F153" s="62">
        <v>190.24</v>
      </c>
      <c r="G153" s="62">
        <v>191.78</v>
      </c>
      <c r="H153" s="61">
        <v>676</v>
      </c>
      <c r="I153" s="80">
        <v>-2.7000000000000001E-3</v>
      </c>
      <c r="J153" s="80">
        <v>0.2235</v>
      </c>
      <c r="K153" s="62">
        <v>768849658.70000005</v>
      </c>
      <c r="L153" s="84">
        <f t="shared" si="61"/>
        <v>1.4521484823746019E-2</v>
      </c>
      <c r="M153" s="62">
        <v>192.39</v>
      </c>
      <c r="N153" s="62">
        <v>193.77</v>
      </c>
      <c r="O153" s="61">
        <v>676</v>
      </c>
      <c r="P153" s="80">
        <v>1.0800000000000001E-2</v>
      </c>
      <c r="Q153" s="80">
        <v>0.2354</v>
      </c>
      <c r="R153" s="87">
        <f t="shared" si="62"/>
        <v>2.9873183816355769E-2</v>
      </c>
      <c r="S153" s="87">
        <f t="shared" si="63"/>
        <v>1.037647304202737E-2</v>
      </c>
      <c r="T153" s="87">
        <f t="shared" si="64"/>
        <v>0</v>
      </c>
      <c r="U153" s="87">
        <f t="shared" si="65"/>
        <v>1.3500000000000002E-2</v>
      </c>
      <c r="V153" s="88">
        <f t="shared" si="66"/>
        <v>1.1899999999999994E-2</v>
      </c>
    </row>
    <row r="154" spans="1:22">
      <c r="A154" s="167">
        <v>131</v>
      </c>
      <c r="B154" s="160" t="s">
        <v>209</v>
      </c>
      <c r="C154" s="159" t="s">
        <v>72</v>
      </c>
      <c r="D154" s="62">
        <v>3734808.11</v>
      </c>
      <c r="E154" s="59">
        <f t="shared" si="60"/>
        <v>7.0770773949108823E-5</v>
      </c>
      <c r="F154" s="62">
        <v>102.747</v>
      </c>
      <c r="G154" s="62">
        <v>102.99</v>
      </c>
      <c r="H154" s="61">
        <v>0</v>
      </c>
      <c r="I154" s="80">
        <v>0</v>
      </c>
      <c r="J154" s="80">
        <v>0</v>
      </c>
      <c r="K154" s="62">
        <v>3734808.11</v>
      </c>
      <c r="L154" s="84">
        <f t="shared" si="61"/>
        <v>7.0540395869682845E-5</v>
      </c>
      <c r="M154" s="62">
        <v>102.747</v>
      </c>
      <c r="N154" s="62">
        <v>102.99</v>
      </c>
      <c r="O154" s="61">
        <v>0</v>
      </c>
      <c r="P154" s="80">
        <v>0</v>
      </c>
      <c r="Q154" s="80">
        <v>0</v>
      </c>
      <c r="R154" s="87">
        <f t="shared" si="62"/>
        <v>0</v>
      </c>
      <c r="S154" s="87">
        <f t="shared" si="63"/>
        <v>0</v>
      </c>
      <c r="T154" s="87" t="e">
        <f t="shared" si="64"/>
        <v>#DIV/0!</v>
      </c>
      <c r="U154" s="87">
        <f t="shared" si="65"/>
        <v>0</v>
      </c>
      <c r="V154" s="88">
        <f t="shared" si="66"/>
        <v>0</v>
      </c>
    </row>
    <row r="155" spans="1:22">
      <c r="A155" s="167">
        <v>132</v>
      </c>
      <c r="B155" s="160" t="s">
        <v>210</v>
      </c>
      <c r="C155" s="159" t="s">
        <v>130</v>
      </c>
      <c r="D155" s="62">
        <v>193989010.84999999</v>
      </c>
      <c r="E155" s="59">
        <f t="shared" si="60"/>
        <v>3.6758923165872022E-3</v>
      </c>
      <c r="F155" s="62">
        <v>1.5306</v>
      </c>
      <c r="G155" s="62">
        <v>1.5446</v>
      </c>
      <c r="H155" s="61">
        <v>347</v>
      </c>
      <c r="I155" s="80">
        <v>4.0671739700865999E-3</v>
      </c>
      <c r="J155" s="80">
        <v>4.5563221531525401E-2</v>
      </c>
      <c r="K155" s="62">
        <v>195604880.43000001</v>
      </c>
      <c r="L155" s="84">
        <f t="shared" si="61"/>
        <v>3.6944456832011595E-3</v>
      </c>
      <c r="M155" s="62">
        <v>1.5421</v>
      </c>
      <c r="N155" s="62">
        <v>1.5561</v>
      </c>
      <c r="O155" s="61">
        <v>348</v>
      </c>
      <c r="P155" s="80">
        <v>7.51339344048096E-3</v>
      </c>
      <c r="Q155" s="80">
        <v>5.3418949381788497E-2</v>
      </c>
      <c r="R155" s="87">
        <f t="shared" si="62"/>
        <v>8.3296964756909234E-3</v>
      </c>
      <c r="S155" s="87">
        <f t="shared" si="63"/>
        <v>7.4452932798135868E-3</v>
      </c>
      <c r="T155" s="87">
        <f t="shared" si="64"/>
        <v>2.881844380403458E-3</v>
      </c>
      <c r="U155" s="87">
        <f t="shared" si="65"/>
        <v>3.4462194703943601E-3</v>
      </c>
      <c r="V155" s="88">
        <f t="shared" si="66"/>
        <v>7.8557278502630959E-3</v>
      </c>
    </row>
    <row r="156" spans="1:22">
      <c r="A156" s="167">
        <v>133</v>
      </c>
      <c r="B156" s="160" t="s">
        <v>211</v>
      </c>
      <c r="C156" s="159" t="s">
        <v>32</v>
      </c>
      <c r="D156" s="74">
        <v>130708811.88</v>
      </c>
      <c r="E156" s="59">
        <f t="shared" si="60"/>
        <v>2.4767976041253884E-3</v>
      </c>
      <c r="F156" s="62">
        <v>155.04830000000001</v>
      </c>
      <c r="G156" s="62">
        <v>155.74039999999999</v>
      </c>
      <c r="H156" s="61">
        <v>122</v>
      </c>
      <c r="I156" s="80">
        <v>4.5499999999999999E-2</v>
      </c>
      <c r="J156" s="80">
        <v>0.13539999999999999</v>
      </c>
      <c r="K156" s="74">
        <v>130398861.13</v>
      </c>
      <c r="L156" s="84">
        <f t="shared" si="61"/>
        <v>2.4628808265777275E-3</v>
      </c>
      <c r="M156" s="62">
        <v>154.67439999999999</v>
      </c>
      <c r="N156" s="62">
        <v>155.36179999999999</v>
      </c>
      <c r="O156" s="61">
        <v>122</v>
      </c>
      <c r="P156" s="80">
        <v>2.4E-2</v>
      </c>
      <c r="Q156" s="80">
        <v>0.13389999999999999</v>
      </c>
      <c r="R156" s="87">
        <f t="shared" si="62"/>
        <v>-2.3713072251361055E-3</v>
      </c>
      <c r="S156" s="87">
        <f t="shared" si="63"/>
        <v>-2.4309684577669367E-3</v>
      </c>
      <c r="T156" s="87">
        <f t="shared" si="64"/>
        <v>0</v>
      </c>
      <c r="U156" s="87">
        <f t="shared" si="65"/>
        <v>-2.1499999999999998E-2</v>
      </c>
      <c r="V156" s="88">
        <f t="shared" si="66"/>
        <v>-1.5000000000000013E-3</v>
      </c>
    </row>
    <row r="157" spans="1:22">
      <c r="A157" s="167">
        <v>134</v>
      </c>
      <c r="B157" s="160" t="s">
        <v>212</v>
      </c>
      <c r="C157" s="159" t="s">
        <v>76</v>
      </c>
      <c r="D157" s="74">
        <v>225575373.74000001</v>
      </c>
      <c r="E157" s="59">
        <f t="shared" si="60"/>
        <v>4.274421419589153E-3</v>
      </c>
      <c r="F157" s="62">
        <v>120.13</v>
      </c>
      <c r="G157" s="62">
        <v>120.92</v>
      </c>
      <c r="H157" s="61">
        <v>40</v>
      </c>
      <c r="I157" s="80">
        <v>-5.0000000000000001E-4</v>
      </c>
      <c r="J157" s="80">
        <v>0.19939999999999999</v>
      </c>
      <c r="K157" s="74">
        <v>224342999.84</v>
      </c>
      <c r="L157" s="84">
        <f t="shared" si="61"/>
        <v>4.2372308170086402E-3</v>
      </c>
      <c r="M157" s="62">
        <v>120.26</v>
      </c>
      <c r="N157" s="62">
        <v>121.13</v>
      </c>
      <c r="O157" s="61">
        <v>40</v>
      </c>
      <c r="P157" s="80">
        <v>1.6000000000000001E-3</v>
      </c>
      <c r="Q157" s="80">
        <v>0.20100000000000001</v>
      </c>
      <c r="R157" s="87">
        <f t="shared" si="62"/>
        <v>-5.4632466282443139E-3</v>
      </c>
      <c r="S157" s="87">
        <f t="shared" si="63"/>
        <v>1.7366854118424889E-3</v>
      </c>
      <c r="T157" s="87">
        <f t="shared" si="64"/>
        <v>0</v>
      </c>
      <c r="U157" s="87">
        <f t="shared" si="65"/>
        <v>2.1000000000000003E-3</v>
      </c>
      <c r="V157" s="88">
        <f t="shared" si="66"/>
        <v>1.6000000000000181E-3</v>
      </c>
    </row>
    <row r="158" spans="1:22" ht="15.75" customHeight="1">
      <c r="A158" s="167">
        <v>135</v>
      </c>
      <c r="B158" s="160" t="s">
        <v>213</v>
      </c>
      <c r="C158" s="159" t="s">
        <v>79</v>
      </c>
      <c r="D158" s="58">
        <v>307596701.55000001</v>
      </c>
      <c r="E158" s="59">
        <f t="shared" si="60"/>
        <v>5.8286412559189135E-3</v>
      </c>
      <c r="F158" s="62">
        <v>1.2252000000000001</v>
      </c>
      <c r="G158" s="62">
        <v>1.2374000000000001</v>
      </c>
      <c r="H158" s="61">
        <v>102</v>
      </c>
      <c r="I158" s="80">
        <v>-1.3129E-2</v>
      </c>
      <c r="J158" s="80">
        <v>4.7296999999999999E-2</v>
      </c>
      <c r="K158" s="58">
        <v>307087144.86000001</v>
      </c>
      <c r="L158" s="84">
        <f t="shared" si="61"/>
        <v>5.8000433026035823E-3</v>
      </c>
      <c r="M158" s="62">
        <v>1.2237</v>
      </c>
      <c r="N158" s="62">
        <v>1.2366999999999999</v>
      </c>
      <c r="O158" s="61">
        <v>102</v>
      </c>
      <c r="P158" s="80">
        <v>-1.5499999999999999E-3</v>
      </c>
      <c r="Q158" s="80">
        <v>9.1176999999999994E-2</v>
      </c>
      <c r="R158" s="87">
        <f t="shared" si="62"/>
        <v>-1.6565739731027932E-3</v>
      </c>
      <c r="S158" s="87">
        <f t="shared" si="63"/>
        <v>-5.6570227897215523E-4</v>
      </c>
      <c r="T158" s="87">
        <f t="shared" si="64"/>
        <v>0</v>
      </c>
      <c r="U158" s="87">
        <f t="shared" si="65"/>
        <v>1.1579000000000001E-2</v>
      </c>
      <c r="V158" s="88">
        <f t="shared" si="66"/>
        <v>4.3879999999999995E-2</v>
      </c>
    </row>
    <row r="159" spans="1:22">
      <c r="A159" s="167">
        <v>136</v>
      </c>
      <c r="B159" s="160" t="s">
        <v>214</v>
      </c>
      <c r="C159" s="159" t="s">
        <v>34</v>
      </c>
      <c r="D159" s="62">
        <v>9084580548.0699997</v>
      </c>
      <c r="E159" s="59">
        <f t="shared" si="60"/>
        <v>0.17214346157932414</v>
      </c>
      <c r="F159" s="62">
        <v>302.83</v>
      </c>
      <c r="G159" s="62">
        <v>304.87</v>
      </c>
      <c r="H159" s="61">
        <v>5466</v>
      </c>
      <c r="I159" s="80">
        <v>-3.8E-3</v>
      </c>
      <c r="J159" s="80">
        <v>0.2427</v>
      </c>
      <c r="K159" s="62">
        <v>9109298227.5799999</v>
      </c>
      <c r="L159" s="84">
        <f t="shared" si="61"/>
        <v>0.17204993781286759</v>
      </c>
      <c r="M159" s="62">
        <v>303.70999999999998</v>
      </c>
      <c r="N159" s="62">
        <v>305.76</v>
      </c>
      <c r="O159" s="61">
        <v>5463</v>
      </c>
      <c r="P159" s="80">
        <v>2.8999999999999998E-3</v>
      </c>
      <c r="Q159" s="80">
        <v>0.24590000000000001</v>
      </c>
      <c r="R159" s="87">
        <f t="shared" si="62"/>
        <v>2.7208388300603982E-3</v>
      </c>
      <c r="S159" s="87">
        <f t="shared" si="63"/>
        <v>2.9192770689145746E-3</v>
      </c>
      <c r="T159" s="87">
        <f t="shared" si="64"/>
        <v>-5.4884742041712406E-4</v>
      </c>
      <c r="U159" s="87">
        <f t="shared" si="65"/>
        <v>6.6999999999999994E-3</v>
      </c>
      <c r="V159" s="88">
        <f t="shared" si="66"/>
        <v>3.2000000000000084E-3</v>
      </c>
    </row>
    <row r="160" spans="1:22">
      <c r="A160" s="167">
        <v>137</v>
      </c>
      <c r="B160" s="160" t="s">
        <v>215</v>
      </c>
      <c r="C160" s="159" t="s">
        <v>84</v>
      </c>
      <c r="D160" s="62">
        <v>3126614484.5599999</v>
      </c>
      <c r="E160" s="59">
        <f t="shared" si="60"/>
        <v>5.9246130027495625E-2</v>
      </c>
      <c r="F160" s="62">
        <v>2.1930999999999998</v>
      </c>
      <c r="G160" s="62">
        <v>2.2303999999999999</v>
      </c>
      <c r="H160" s="61">
        <v>10307</v>
      </c>
      <c r="I160" s="80">
        <v>-5.5999999999999999E-3</v>
      </c>
      <c r="J160" s="80">
        <v>0.25729999999999997</v>
      </c>
      <c r="K160" s="62">
        <v>3145548675.79</v>
      </c>
      <c r="L160" s="84">
        <f t="shared" si="61"/>
        <v>5.9410883312445005E-2</v>
      </c>
      <c r="M160" s="62">
        <v>2.2063000000000001</v>
      </c>
      <c r="N160" s="62">
        <v>2.2441</v>
      </c>
      <c r="O160" s="61">
        <v>10307</v>
      </c>
      <c r="P160" s="80">
        <v>6.0540345170325503E-3</v>
      </c>
      <c r="Q160" s="80">
        <v>0.26490000000000002</v>
      </c>
      <c r="R160" s="87">
        <f t="shared" si="62"/>
        <v>6.0558125485254948E-3</v>
      </c>
      <c r="S160" s="87">
        <f t="shared" si="63"/>
        <v>6.1423959827833774E-3</v>
      </c>
      <c r="T160" s="87">
        <f t="shared" si="64"/>
        <v>0</v>
      </c>
      <c r="U160" s="87">
        <f t="shared" si="65"/>
        <v>1.1654034517032549E-2</v>
      </c>
      <c r="V160" s="88">
        <f t="shared" si="66"/>
        <v>7.6000000000000512E-3</v>
      </c>
    </row>
    <row r="161" spans="1:22">
      <c r="A161" s="167">
        <v>138</v>
      </c>
      <c r="B161" s="160" t="s">
        <v>216</v>
      </c>
      <c r="C161" s="159" t="s">
        <v>86</v>
      </c>
      <c r="D161" s="62">
        <v>227065427.13541201</v>
      </c>
      <c r="E161" s="59">
        <f t="shared" si="60"/>
        <v>4.3026563995166231E-3</v>
      </c>
      <c r="F161" s="62">
        <v>295.47000000000003</v>
      </c>
      <c r="G161" s="62">
        <v>299.41000000000003</v>
      </c>
      <c r="H161" s="61">
        <v>39</v>
      </c>
      <c r="I161" s="80">
        <v>-1E-4</v>
      </c>
      <c r="J161" s="80">
        <v>0.25090000000000001</v>
      </c>
      <c r="K161" s="62">
        <v>235083969.38645101</v>
      </c>
      <c r="L161" s="84">
        <f t="shared" si="61"/>
        <v>4.4400986007114189E-3</v>
      </c>
      <c r="M161" s="62">
        <v>305.88</v>
      </c>
      <c r="N161" s="62">
        <v>306.73</v>
      </c>
      <c r="O161" s="61">
        <v>39</v>
      </c>
      <c r="P161" s="80">
        <v>3.5200000000000002E-2</v>
      </c>
      <c r="Q161" s="80">
        <v>0.29620000000000002</v>
      </c>
      <c r="R161" s="87">
        <f t="shared" si="62"/>
        <v>3.5313796345830692E-2</v>
      </c>
      <c r="S161" s="87">
        <f t="shared" si="63"/>
        <v>2.4448081226411917E-2</v>
      </c>
      <c r="T161" s="87">
        <f t="shared" si="64"/>
        <v>0</v>
      </c>
      <c r="U161" s="87">
        <f t="shared" si="65"/>
        <v>3.5300000000000005E-2</v>
      </c>
      <c r="V161" s="88">
        <f t="shared" si="66"/>
        <v>4.5300000000000007E-2</v>
      </c>
    </row>
    <row r="162" spans="1:22">
      <c r="A162" s="167">
        <v>139</v>
      </c>
      <c r="B162" s="160" t="s">
        <v>217</v>
      </c>
      <c r="C162" s="160" t="s">
        <v>88</v>
      </c>
      <c r="D162" s="62">
        <v>58680082.560000002</v>
      </c>
      <c r="E162" s="59">
        <f t="shared" si="60"/>
        <v>1.1119272358463429E-3</v>
      </c>
      <c r="F162" s="62">
        <v>1.147</v>
      </c>
      <c r="G162" s="62">
        <v>1.159</v>
      </c>
      <c r="H162" s="61">
        <v>28</v>
      </c>
      <c r="I162" s="80">
        <v>4.4000000000000003E-3</v>
      </c>
      <c r="J162" s="80">
        <v>0.1784</v>
      </c>
      <c r="K162" s="62">
        <v>58674463.259999998</v>
      </c>
      <c r="L162" s="84">
        <f t="shared" si="61"/>
        <v>1.1082014775322853E-3</v>
      </c>
      <c r="M162" s="62">
        <v>1.1419999999999999</v>
      </c>
      <c r="N162" s="62">
        <v>1.155</v>
      </c>
      <c r="O162" s="61">
        <v>28</v>
      </c>
      <c r="P162" s="80">
        <v>-4.4000000000000003E-3</v>
      </c>
      <c r="Q162" s="80">
        <v>0.17299999999999999</v>
      </c>
      <c r="R162" s="87">
        <f t="shared" ref="R162" si="67">((K162-D162)/D162)</f>
        <v>-9.5761623959181937E-5</v>
      </c>
      <c r="S162" s="87">
        <f t="shared" ref="S162" si="68">((N162-G162)/G162)</f>
        <v>-3.4512510785159648E-3</v>
      </c>
      <c r="T162" s="87">
        <f t="shared" ref="T162" si="69">((O162-H162)/H162)</f>
        <v>0</v>
      </c>
      <c r="U162" s="87">
        <f t="shared" ref="U162" si="70">P162-I162</f>
        <v>-8.8000000000000005E-3</v>
      </c>
      <c r="V162" s="88">
        <f t="shared" ref="V162:V164" si="71">Q162-J162</f>
        <v>-5.4000000000000159E-3</v>
      </c>
    </row>
    <row r="163" spans="1:22" ht="13.5" customHeight="1">
      <c r="A163" s="167">
        <v>140</v>
      </c>
      <c r="B163" s="160" t="s">
        <v>218</v>
      </c>
      <c r="C163" s="159" t="s">
        <v>40</v>
      </c>
      <c r="D163" s="58">
        <v>2848407006.3800001</v>
      </c>
      <c r="E163" s="59">
        <f t="shared" si="60"/>
        <v>5.3974384339541555E-2</v>
      </c>
      <c r="F163" s="62">
        <v>4.0237819999999997</v>
      </c>
      <c r="G163" s="62">
        <v>4.1581260000000002</v>
      </c>
      <c r="H163" s="61">
        <v>2347</v>
      </c>
      <c r="I163" s="80">
        <v>4.0100196845531703E-3</v>
      </c>
      <c r="J163" s="80">
        <v>0.106255189288758</v>
      </c>
      <c r="K163" s="58">
        <v>2849665051.8099999</v>
      </c>
      <c r="L163" s="84">
        <f t="shared" si="61"/>
        <v>5.382244413373026E-2</v>
      </c>
      <c r="M163" s="62">
        <v>4.026694</v>
      </c>
      <c r="N163" s="62">
        <v>4.1632470000000001</v>
      </c>
      <c r="O163" s="61">
        <v>2349</v>
      </c>
      <c r="P163" s="80">
        <v>7.2369725795296002E-4</v>
      </c>
      <c r="Q163" s="80">
        <v>0.10705578313584301</v>
      </c>
      <c r="R163" s="87">
        <f t="shared" si="62"/>
        <v>4.4166631635928334E-4</v>
      </c>
      <c r="S163" s="87">
        <f t="shared" si="63"/>
        <v>1.2315644114680342E-3</v>
      </c>
      <c r="T163" s="87">
        <f t="shared" si="64"/>
        <v>8.5215168299957388E-4</v>
      </c>
      <c r="U163" s="87">
        <f t="shared" si="65"/>
        <v>-3.2863224266002104E-3</v>
      </c>
      <c r="V163" s="88">
        <f t="shared" si="71"/>
        <v>8.0059384708500159E-4</v>
      </c>
    </row>
    <row r="164" spans="1:22" ht="13.5" customHeight="1">
      <c r="A164" s="167">
        <v>141</v>
      </c>
      <c r="B164" s="160" t="s">
        <v>219</v>
      </c>
      <c r="C164" s="159" t="s">
        <v>220</v>
      </c>
      <c r="D164" s="58">
        <v>63418752.450000003</v>
      </c>
      <c r="E164" s="59">
        <f t="shared" si="60"/>
        <v>1.2017201584617536E-3</v>
      </c>
      <c r="F164" s="62">
        <v>2.0670000000000002</v>
      </c>
      <c r="G164" s="62">
        <v>2.0710000000000002</v>
      </c>
      <c r="H164" s="61">
        <v>64</v>
      </c>
      <c r="I164" s="80">
        <v>2.2000000000000001E-3</v>
      </c>
      <c r="J164" s="80">
        <v>3.4799999999999998E-2</v>
      </c>
      <c r="K164" s="58">
        <v>63472858.560000002</v>
      </c>
      <c r="L164" s="84">
        <f t="shared" si="61"/>
        <v>1.1988301508220694E-3</v>
      </c>
      <c r="M164" s="62">
        <v>2.0712999999999999</v>
      </c>
      <c r="N164" s="62">
        <v>2.0756999999999999</v>
      </c>
      <c r="O164" s="61">
        <v>65</v>
      </c>
      <c r="P164" s="80">
        <v>2.2000000000000001E-3</v>
      </c>
      <c r="Q164" s="80">
        <v>3.6999999999999998E-2</v>
      </c>
      <c r="R164" s="87">
        <f t="shared" ref="R164" si="72">((K164-D164)/D164)</f>
        <v>8.531563285269167E-4</v>
      </c>
      <c r="S164" s="87">
        <f t="shared" ref="S164" si="73">((N164-G164)/G164)</f>
        <v>2.2694350555285871E-3</v>
      </c>
      <c r="T164" s="87">
        <f t="shared" ref="T164" si="74">((O164-H164)/H164)</f>
        <v>1.5625E-2</v>
      </c>
      <c r="U164" s="87">
        <f t="shared" ref="U164" si="75">P164-I164</f>
        <v>0</v>
      </c>
      <c r="V164" s="88">
        <f t="shared" si="71"/>
        <v>2.2000000000000006E-3</v>
      </c>
    </row>
    <row r="165" spans="1:22">
      <c r="A165" s="167">
        <v>142</v>
      </c>
      <c r="B165" s="160" t="s">
        <v>221</v>
      </c>
      <c r="C165" s="159" t="s">
        <v>139</v>
      </c>
      <c r="D165" s="58">
        <v>351378887.76999998</v>
      </c>
      <c r="E165" s="59">
        <f t="shared" si="60"/>
        <v>6.6582686725664064E-3</v>
      </c>
      <c r="F165" s="62">
        <v>168.15</v>
      </c>
      <c r="G165" s="62">
        <v>172.61</v>
      </c>
      <c r="H165" s="61">
        <v>141</v>
      </c>
      <c r="I165" s="80">
        <v>7.6499999999999999E-2</v>
      </c>
      <c r="J165" s="80">
        <v>0.1855</v>
      </c>
      <c r="K165" s="58">
        <v>323472031.91000003</v>
      </c>
      <c r="L165" s="84">
        <f t="shared" si="61"/>
        <v>6.1095093808452945E-3</v>
      </c>
      <c r="M165" s="62">
        <v>194.87090000000001</v>
      </c>
      <c r="N165" s="62">
        <v>197.87360000000001</v>
      </c>
      <c r="O165" s="61">
        <v>141</v>
      </c>
      <c r="P165" s="80">
        <v>0.1855</v>
      </c>
      <c r="Q165" s="80">
        <v>0.1855</v>
      </c>
      <c r="R165" s="87">
        <f t="shared" si="62"/>
        <v>-7.9420980688705414E-2</v>
      </c>
      <c r="S165" s="87">
        <f t="shared" si="63"/>
        <v>0.14636231968020388</v>
      </c>
      <c r="T165" s="87">
        <f t="shared" si="64"/>
        <v>0</v>
      </c>
      <c r="U165" s="87">
        <f t="shared" si="65"/>
        <v>0.109</v>
      </c>
      <c r="V165" s="88">
        <f t="shared" si="66"/>
        <v>0</v>
      </c>
    </row>
    <row r="166" spans="1:22">
      <c r="A166" s="167">
        <v>143</v>
      </c>
      <c r="B166" s="160" t="s">
        <v>222</v>
      </c>
      <c r="C166" s="159" t="s">
        <v>36</v>
      </c>
      <c r="D166" s="58">
        <v>2310986468.1199999</v>
      </c>
      <c r="E166" s="59">
        <f t="shared" si="60"/>
        <v>4.3790817658573074E-2</v>
      </c>
      <c r="F166" s="62">
        <v>552.22</v>
      </c>
      <c r="G166" s="62">
        <v>552.22</v>
      </c>
      <c r="H166" s="61">
        <v>823</v>
      </c>
      <c r="I166" s="80">
        <v>6.3280000000000003E-2</v>
      </c>
      <c r="J166" s="80">
        <v>0.4783</v>
      </c>
      <c r="K166" s="58">
        <v>2199467864.6799998</v>
      </c>
      <c r="L166" s="84">
        <f t="shared" si="61"/>
        <v>4.154198269564463E-2</v>
      </c>
      <c r="M166" s="62">
        <v>552.22</v>
      </c>
      <c r="N166" s="62">
        <v>552.22</v>
      </c>
      <c r="O166" s="61">
        <v>823</v>
      </c>
      <c r="P166" s="80">
        <v>-4.8300000000000003E-2</v>
      </c>
      <c r="Q166" s="80">
        <v>0.40689999999999998</v>
      </c>
      <c r="R166" s="87">
        <f t="shared" si="62"/>
        <v>-4.825584441034008E-2</v>
      </c>
      <c r="S166" s="87">
        <f t="shared" si="63"/>
        <v>0</v>
      </c>
      <c r="T166" s="87">
        <f t="shared" si="64"/>
        <v>0</v>
      </c>
      <c r="U166" s="87">
        <f t="shared" si="65"/>
        <v>-0.11158000000000001</v>
      </c>
      <c r="V166" s="88">
        <f t="shared" si="66"/>
        <v>-7.1400000000000019E-2</v>
      </c>
    </row>
    <row r="167" spans="1:22">
      <c r="A167" s="167">
        <v>144</v>
      </c>
      <c r="B167" s="160" t="s">
        <v>223</v>
      </c>
      <c r="C167" s="159" t="s">
        <v>95</v>
      </c>
      <c r="D167" s="62">
        <v>28209248.379999999</v>
      </c>
      <c r="E167" s="59">
        <f t="shared" si="60"/>
        <v>5.3453625503004608E-4</v>
      </c>
      <c r="F167" s="62">
        <v>1.75</v>
      </c>
      <c r="G167" s="62">
        <v>1.75</v>
      </c>
      <c r="H167" s="61">
        <v>8</v>
      </c>
      <c r="I167" s="80">
        <v>9.8299999999999993E-4</v>
      </c>
      <c r="J167" s="80">
        <v>7.5070999999999999E-2</v>
      </c>
      <c r="K167" s="62">
        <v>28131678.109999999</v>
      </c>
      <c r="L167" s="84">
        <f t="shared" si="61"/>
        <v>5.3133110240512237E-4</v>
      </c>
      <c r="M167" s="62">
        <v>1.75</v>
      </c>
      <c r="N167" s="62">
        <v>1.75</v>
      </c>
      <c r="O167" s="61">
        <v>8</v>
      </c>
      <c r="P167" s="80">
        <v>-2.7499999999999998E-3</v>
      </c>
      <c r="Q167" s="80">
        <v>7.2114999999999999E-2</v>
      </c>
      <c r="R167" s="87">
        <f t="shared" si="62"/>
        <v>-2.7498169733226885E-3</v>
      </c>
      <c r="S167" s="87">
        <f t="shared" si="63"/>
        <v>0</v>
      </c>
      <c r="T167" s="87">
        <f t="shared" si="64"/>
        <v>0</v>
      </c>
      <c r="U167" s="87">
        <f t="shared" si="65"/>
        <v>-3.7329999999999998E-3</v>
      </c>
      <c r="V167" s="88">
        <f t="shared" si="66"/>
        <v>-2.9560000000000003E-3</v>
      </c>
    </row>
    <row r="168" spans="1:22">
      <c r="A168" s="167">
        <v>145</v>
      </c>
      <c r="B168" s="160" t="s">
        <v>224</v>
      </c>
      <c r="C168" s="159" t="s">
        <v>48</v>
      </c>
      <c r="D168" s="62">
        <v>227141490.96000001</v>
      </c>
      <c r="E168" s="59">
        <f t="shared" si="60"/>
        <v>4.3040977307917724E-3</v>
      </c>
      <c r="F168" s="62">
        <v>2.293647</v>
      </c>
      <c r="G168" s="62">
        <v>2.3378760000000001</v>
      </c>
      <c r="H168" s="61">
        <v>119</v>
      </c>
      <c r="I168" s="80">
        <v>1.3599999999999999E-2</v>
      </c>
      <c r="J168" s="80">
        <v>-1.21E-2</v>
      </c>
      <c r="K168" s="62">
        <v>204733561.56</v>
      </c>
      <c r="L168" s="84">
        <f t="shared" si="61"/>
        <v>3.8668617114715658E-3</v>
      </c>
      <c r="M168" s="62">
        <v>2.067075</v>
      </c>
      <c r="N168" s="62">
        <v>2.112133</v>
      </c>
      <c r="O168" s="61">
        <v>119</v>
      </c>
      <c r="P168" s="80">
        <v>-0.1014</v>
      </c>
      <c r="Q168" s="80">
        <v>-0.1085</v>
      </c>
      <c r="R168" s="87">
        <f t="shared" si="62"/>
        <v>-9.8651854864975241E-2</v>
      </c>
      <c r="S168" s="87">
        <f t="shared" si="63"/>
        <v>-9.6559013395064591E-2</v>
      </c>
      <c r="T168" s="87">
        <f t="shared" si="64"/>
        <v>0</v>
      </c>
      <c r="U168" s="87">
        <f t="shared" si="65"/>
        <v>-0.115</v>
      </c>
      <c r="V168" s="88">
        <f t="shared" si="66"/>
        <v>-9.64E-2</v>
      </c>
    </row>
    <row r="169" spans="1:22">
      <c r="A169" s="167">
        <v>146</v>
      </c>
      <c r="B169" s="160" t="s">
        <v>225</v>
      </c>
      <c r="C169" s="159" t="s">
        <v>52</v>
      </c>
      <c r="D169" s="58">
        <v>2759021116.8299999</v>
      </c>
      <c r="E169" s="59">
        <f t="shared" si="60"/>
        <v>5.2280613629703647E-2</v>
      </c>
      <c r="F169" s="62">
        <v>6076.92</v>
      </c>
      <c r="G169" s="62">
        <v>6137.44</v>
      </c>
      <c r="H169" s="61">
        <v>2249</v>
      </c>
      <c r="I169" s="80">
        <v>1.03E-2</v>
      </c>
      <c r="J169" s="80">
        <v>0.2223</v>
      </c>
      <c r="K169" s="58">
        <v>2776458212.46</v>
      </c>
      <c r="L169" s="59">
        <f t="shared" si="61"/>
        <v>5.2439765485718735E-2</v>
      </c>
      <c r="M169" s="62">
        <v>6118.37</v>
      </c>
      <c r="N169" s="62">
        <v>6178.86</v>
      </c>
      <c r="O169" s="61">
        <v>2247</v>
      </c>
      <c r="P169" s="80">
        <v>6.7000000000000002E-3</v>
      </c>
      <c r="Q169" s="80">
        <v>0.23050000000000001</v>
      </c>
      <c r="R169" s="87">
        <f t="shared" si="62"/>
        <v>6.32002978289438E-3</v>
      </c>
      <c r="S169" s="87">
        <f t="shared" si="63"/>
        <v>6.7487421465627483E-3</v>
      </c>
      <c r="T169" s="87">
        <f t="shared" si="64"/>
        <v>-8.8928412627834591E-4</v>
      </c>
      <c r="U169" s="87">
        <f t="shared" si="65"/>
        <v>-3.5999999999999999E-3</v>
      </c>
      <c r="V169" s="88">
        <f t="shared" si="66"/>
        <v>8.2000000000000128E-3</v>
      </c>
    </row>
    <row r="170" spans="1:22">
      <c r="A170" s="167">
        <v>147</v>
      </c>
      <c r="B170" s="160" t="s">
        <v>226</v>
      </c>
      <c r="C170" s="160" t="s">
        <v>105</v>
      </c>
      <c r="D170" s="58">
        <v>84389851.930000007</v>
      </c>
      <c r="E170" s="59">
        <f t="shared" si="60"/>
        <v>1.5991009333373211E-3</v>
      </c>
      <c r="F170" s="62">
        <v>1087.5899999999999</v>
      </c>
      <c r="G170" s="62">
        <v>1105.21</v>
      </c>
      <c r="H170" s="61">
        <v>8</v>
      </c>
      <c r="I170" s="80">
        <v>-9.5067304237363998E-3</v>
      </c>
      <c r="J170" s="80">
        <v>0.1021</v>
      </c>
      <c r="K170" s="58">
        <v>82593063.489999995</v>
      </c>
      <c r="L170" s="59">
        <f t="shared" si="61"/>
        <v>1.559958965247735E-3</v>
      </c>
      <c r="M170" s="62">
        <v>1064.74</v>
      </c>
      <c r="N170" s="62">
        <v>1105.21</v>
      </c>
      <c r="O170" s="61">
        <v>8</v>
      </c>
      <c r="P170" s="80">
        <v>-2.1551336782870498E-2</v>
      </c>
      <c r="Q170" s="80">
        <v>7.7200000000000005E-2</v>
      </c>
      <c r="R170" s="87">
        <f t="shared" si="62"/>
        <v>-2.1291522604997802E-2</v>
      </c>
      <c r="S170" s="87">
        <f t="shared" si="63"/>
        <v>0</v>
      </c>
      <c r="T170" s="87">
        <f t="shared" si="64"/>
        <v>0</v>
      </c>
      <c r="U170" s="87">
        <f t="shared" si="65"/>
        <v>-1.2044606359134099E-2</v>
      </c>
      <c r="V170" s="88">
        <f t="shared" si="66"/>
        <v>-2.4899999999999992E-2</v>
      </c>
    </row>
    <row r="171" spans="1:22">
      <c r="A171" s="167">
        <v>148</v>
      </c>
      <c r="B171" s="160" t="s">
        <v>227</v>
      </c>
      <c r="C171" s="160" t="s">
        <v>88</v>
      </c>
      <c r="D171" s="58">
        <v>686017905.30999994</v>
      </c>
      <c r="E171" s="59">
        <f t="shared" si="60"/>
        <v>1.2999334014441548E-2</v>
      </c>
      <c r="F171" s="62">
        <v>1.3120000000000001</v>
      </c>
      <c r="G171" s="62">
        <v>1.3120000000000001</v>
      </c>
      <c r="H171" s="61">
        <v>43</v>
      </c>
      <c r="I171" s="80">
        <v>2.3E-3</v>
      </c>
      <c r="J171" s="80">
        <v>0.23</v>
      </c>
      <c r="K171" s="58">
        <v>689208528.53999996</v>
      </c>
      <c r="L171" s="59">
        <f t="shared" si="61"/>
        <v>1.3017279873040976E-2</v>
      </c>
      <c r="M171" s="62">
        <v>1.3169999999999999</v>
      </c>
      <c r="N171" s="62">
        <v>1.3169999999999999</v>
      </c>
      <c r="O171" s="61">
        <v>43</v>
      </c>
      <c r="P171" s="80">
        <v>3.8E-3</v>
      </c>
      <c r="Q171" s="80">
        <v>0.23499999999999999</v>
      </c>
      <c r="R171" s="87">
        <f t="shared" si="62"/>
        <v>4.6509328769753179E-3</v>
      </c>
      <c r="S171" s="87">
        <f t="shared" si="63"/>
        <v>3.8109756097560164E-3</v>
      </c>
      <c r="T171" s="87">
        <f t="shared" si="64"/>
        <v>0</v>
      </c>
      <c r="U171" s="87">
        <f t="shared" si="65"/>
        <v>1.5E-3</v>
      </c>
      <c r="V171" s="88">
        <f t="shared" si="66"/>
        <v>4.9999999999999767E-3</v>
      </c>
    </row>
    <row r="172" spans="1:22">
      <c r="A172" s="167">
        <v>149</v>
      </c>
      <c r="B172" s="160" t="s">
        <v>228</v>
      </c>
      <c r="C172" s="159" t="s">
        <v>55</v>
      </c>
      <c r="D172" s="62">
        <v>1947333512.8099999</v>
      </c>
      <c r="E172" s="59">
        <f t="shared" si="60"/>
        <v>3.6899968025024057E-2</v>
      </c>
      <c r="F172" s="62">
        <v>1.8411</v>
      </c>
      <c r="G172" s="62">
        <v>1.8523000000000001</v>
      </c>
      <c r="H172" s="61">
        <v>2182</v>
      </c>
      <c r="I172" s="80">
        <v>7.0000000000000001E-3</v>
      </c>
      <c r="J172" s="80">
        <v>0.1883</v>
      </c>
      <c r="K172" s="62">
        <v>1954526166.8499999</v>
      </c>
      <c r="L172" s="84">
        <f t="shared" si="61"/>
        <v>3.6915698340189367E-2</v>
      </c>
      <c r="M172" s="62">
        <v>1.8485</v>
      </c>
      <c r="N172" s="62">
        <v>1.8597999999999999</v>
      </c>
      <c r="O172" s="61">
        <v>2182</v>
      </c>
      <c r="P172" s="80">
        <v>4.0000000000000001E-3</v>
      </c>
      <c r="Q172" s="80">
        <v>0.1923</v>
      </c>
      <c r="R172" s="87">
        <f t="shared" si="62"/>
        <v>3.693591258346379E-3</v>
      </c>
      <c r="S172" s="87">
        <f t="shared" si="63"/>
        <v>4.0490201371267288E-3</v>
      </c>
      <c r="T172" s="87">
        <f t="shared" si="64"/>
        <v>0</v>
      </c>
      <c r="U172" s="87">
        <f t="shared" si="65"/>
        <v>-3.0000000000000001E-3</v>
      </c>
      <c r="V172" s="88">
        <f t="shared" si="66"/>
        <v>4.0000000000000036E-3</v>
      </c>
    </row>
    <row r="173" spans="1:22">
      <c r="A173" s="167">
        <v>150</v>
      </c>
      <c r="B173" s="160" t="s">
        <v>229</v>
      </c>
      <c r="C173" s="159" t="s">
        <v>55</v>
      </c>
      <c r="D173" s="62">
        <v>1110128382.96</v>
      </c>
      <c r="E173" s="59">
        <f t="shared" si="60"/>
        <v>2.1035791540291979E-2</v>
      </c>
      <c r="F173" s="62">
        <v>1.4382999999999999</v>
      </c>
      <c r="G173" s="62">
        <v>1.4462999999999999</v>
      </c>
      <c r="H173" s="61">
        <v>793</v>
      </c>
      <c r="I173" s="80">
        <v>-1.6000000000000001E-3</v>
      </c>
      <c r="J173" s="80">
        <v>0.2031</v>
      </c>
      <c r="K173" s="62">
        <v>1116093425.96</v>
      </c>
      <c r="L173" s="84">
        <f t="shared" si="61"/>
        <v>2.1079977813041904E-2</v>
      </c>
      <c r="M173" s="62">
        <v>1.4460999999999999</v>
      </c>
      <c r="N173" s="62">
        <v>1.4541999999999999</v>
      </c>
      <c r="O173" s="61">
        <v>793</v>
      </c>
      <c r="P173" s="80">
        <v>5.4000000000000003E-3</v>
      </c>
      <c r="Q173" s="80">
        <v>0.20860000000000001</v>
      </c>
      <c r="R173" s="87">
        <f t="shared" si="62"/>
        <v>5.3732911360171312E-3</v>
      </c>
      <c r="S173" s="87">
        <f t="shared" si="63"/>
        <v>5.4622139251884246E-3</v>
      </c>
      <c r="T173" s="87">
        <f t="shared" si="64"/>
        <v>0</v>
      </c>
      <c r="U173" s="87">
        <f t="shared" si="65"/>
        <v>7.0000000000000001E-3</v>
      </c>
      <c r="V173" s="88">
        <f t="shared" si="66"/>
        <v>5.5000000000000049E-3</v>
      </c>
    </row>
    <row r="174" spans="1:22">
      <c r="A174" s="167">
        <v>151</v>
      </c>
      <c r="B174" s="160" t="s">
        <v>230</v>
      </c>
      <c r="C174" s="159" t="s">
        <v>110</v>
      </c>
      <c r="D174" s="58">
        <v>9784507150.5300007</v>
      </c>
      <c r="E174" s="59">
        <f t="shared" si="60"/>
        <v>0.18540635110530421</v>
      </c>
      <c r="F174" s="62">
        <v>530.9</v>
      </c>
      <c r="G174" s="62">
        <v>536.77</v>
      </c>
      <c r="H174" s="61">
        <v>36</v>
      </c>
      <c r="I174" s="80">
        <v>1.9449999999999999E-2</v>
      </c>
      <c r="J174" s="80">
        <v>0.52610000000000001</v>
      </c>
      <c r="K174" s="58">
        <v>9933354325.1700001</v>
      </c>
      <c r="L174" s="84">
        <f t="shared" si="61"/>
        <v>0.18761412253956955</v>
      </c>
      <c r="M174" s="62">
        <v>538.99</v>
      </c>
      <c r="N174" s="62">
        <v>544.92999999999995</v>
      </c>
      <c r="O174" s="61">
        <v>36</v>
      </c>
      <c r="P174" s="80">
        <v>1.521E-2</v>
      </c>
      <c r="Q174" s="80">
        <v>0.54930000000000001</v>
      </c>
      <c r="R174" s="87">
        <f t="shared" si="62"/>
        <v>1.5212536753262706E-2</v>
      </c>
      <c r="S174" s="87">
        <f t="shared" si="63"/>
        <v>1.5202041842874915E-2</v>
      </c>
      <c r="T174" s="87">
        <f t="shared" si="64"/>
        <v>0</v>
      </c>
      <c r="U174" s="87">
        <f t="shared" si="65"/>
        <v>-4.239999999999999E-3</v>
      </c>
      <c r="V174" s="88">
        <f t="shared" si="66"/>
        <v>2.3199999999999998E-2</v>
      </c>
    </row>
    <row r="175" spans="1:22">
      <c r="A175" s="167">
        <v>152</v>
      </c>
      <c r="B175" s="160" t="s">
        <v>231</v>
      </c>
      <c r="C175" s="159" t="s">
        <v>50</v>
      </c>
      <c r="D175" s="58">
        <v>524745199.87</v>
      </c>
      <c r="E175" s="59">
        <f t="shared" si="60"/>
        <v>9.9433820499226951E-3</v>
      </c>
      <c r="F175" s="62">
        <v>253.6</v>
      </c>
      <c r="G175" s="62">
        <v>256.75</v>
      </c>
      <c r="H175" s="61">
        <v>690</v>
      </c>
      <c r="I175" s="80">
        <v>-6.9999999999999999E-4</v>
      </c>
      <c r="J175" s="80">
        <v>0.31419999999999998</v>
      </c>
      <c r="K175" s="58">
        <v>530650390.73000002</v>
      </c>
      <c r="L175" s="84">
        <f t="shared" si="61"/>
        <v>1.0022546681922056E-2</v>
      </c>
      <c r="M175" s="62">
        <v>256.44</v>
      </c>
      <c r="N175" s="62">
        <v>259.64999999999998</v>
      </c>
      <c r="O175" s="61">
        <v>690</v>
      </c>
      <c r="P175" s="80">
        <v>8.0000000000000002E-3</v>
      </c>
      <c r="Q175" s="80">
        <v>0.32900000000000001</v>
      </c>
      <c r="R175" s="87">
        <f t="shared" si="62"/>
        <v>1.125344426487934E-2</v>
      </c>
      <c r="S175" s="87">
        <f t="shared" si="63"/>
        <v>1.1295034079844118E-2</v>
      </c>
      <c r="T175" s="87">
        <f t="shared" si="64"/>
        <v>0</v>
      </c>
      <c r="U175" s="87">
        <f t="shared" si="65"/>
        <v>8.6999999999999994E-3</v>
      </c>
      <c r="V175" s="88">
        <f t="shared" si="66"/>
        <v>1.4800000000000035E-2</v>
      </c>
    </row>
    <row r="176" spans="1:22">
      <c r="A176" s="65"/>
      <c r="B176" s="66"/>
      <c r="C176" s="67" t="s">
        <v>56</v>
      </c>
      <c r="D176" s="107">
        <f>SUM(D147:D175)</f>
        <v>52773311659.49514</v>
      </c>
      <c r="E176" s="69">
        <f>(D176/$D$206)</f>
        <v>1.4050125796679684E-2</v>
      </c>
      <c r="F176" s="70"/>
      <c r="G176" s="108"/>
      <c r="H176" s="72">
        <f>SUM(H147:H175)</f>
        <v>69809</v>
      </c>
      <c r="I176" s="114"/>
      <c r="J176" s="114"/>
      <c r="K176" s="107">
        <f>SUM(K147:K175)</f>
        <v>52945664168.085022</v>
      </c>
      <c r="L176" s="69">
        <f>(K176/$K$206)</f>
        <v>1.4000848517063534E-2</v>
      </c>
      <c r="M176" s="70"/>
      <c r="N176" s="108"/>
      <c r="O176" s="72">
        <f>SUM(O147:O175)</f>
        <v>69824</v>
      </c>
      <c r="P176" s="114"/>
      <c r="Q176" s="114"/>
      <c r="R176" s="87">
        <f t="shared" si="62"/>
        <v>3.2659028431252842E-3</v>
      </c>
      <c r="S176" s="87" t="e">
        <f t="shared" si="63"/>
        <v>#DIV/0!</v>
      </c>
      <c r="T176" s="87">
        <f t="shared" si="64"/>
        <v>2.1487200790728988E-4</v>
      </c>
      <c r="U176" s="87">
        <f t="shared" si="65"/>
        <v>0</v>
      </c>
      <c r="V176" s="88">
        <f t="shared" si="66"/>
        <v>0</v>
      </c>
    </row>
    <row r="177" spans="1:24" ht="5.25" customHeight="1">
      <c r="A177" s="65"/>
      <c r="B177" s="172"/>
      <c r="C177" s="172"/>
      <c r="D177" s="172"/>
      <c r="E177" s="172"/>
      <c r="F177" s="172"/>
      <c r="G177" s="172"/>
      <c r="H177" s="172"/>
      <c r="I177" s="172"/>
      <c r="J177" s="172"/>
      <c r="K177" s="172"/>
      <c r="L177" s="172"/>
      <c r="M177" s="172"/>
      <c r="N177" s="172"/>
      <c r="O177" s="172"/>
      <c r="P177" s="172"/>
      <c r="Q177" s="172"/>
      <c r="R177" s="172"/>
      <c r="S177" s="172"/>
      <c r="T177" s="172"/>
      <c r="U177" s="172"/>
      <c r="V177" s="172"/>
    </row>
    <row r="178" spans="1:24" ht="15" customHeight="1">
      <c r="A178" s="174" t="s">
        <v>232</v>
      </c>
      <c r="B178" s="174"/>
      <c r="C178" s="174"/>
      <c r="D178" s="174"/>
      <c r="E178" s="174"/>
      <c r="F178" s="174"/>
      <c r="G178" s="174"/>
      <c r="H178" s="174"/>
      <c r="I178" s="174"/>
      <c r="J178" s="174"/>
      <c r="K178" s="174"/>
      <c r="L178" s="174"/>
      <c r="M178" s="174"/>
      <c r="N178" s="174"/>
      <c r="O178" s="174"/>
      <c r="P178" s="174"/>
      <c r="Q178" s="174"/>
      <c r="R178" s="174"/>
      <c r="S178" s="174"/>
      <c r="T178" s="174"/>
      <c r="U178" s="174"/>
      <c r="V178" s="174"/>
    </row>
    <row r="179" spans="1:24">
      <c r="A179" s="167">
        <v>153</v>
      </c>
      <c r="B179" s="160" t="s">
        <v>233</v>
      </c>
      <c r="C179" s="159" t="s">
        <v>26</v>
      </c>
      <c r="D179" s="109">
        <v>905185031.84000003</v>
      </c>
      <c r="E179" s="59">
        <f>(D179/$D$182)</f>
        <v>0.16413652328403955</v>
      </c>
      <c r="F179" s="109">
        <v>63.990099999999998</v>
      </c>
      <c r="G179" s="109">
        <v>65.919499999999999</v>
      </c>
      <c r="H179" s="63">
        <v>1624</v>
      </c>
      <c r="I179" s="81">
        <v>1.7000000000000001E-2</v>
      </c>
      <c r="J179" s="81">
        <v>0.21240000000000001</v>
      </c>
      <c r="K179" s="109">
        <v>917055542.07000005</v>
      </c>
      <c r="L179" s="84">
        <f>(K179/$K$182)</f>
        <v>0.16499844000100428</v>
      </c>
      <c r="M179" s="109">
        <v>64.381799999999998</v>
      </c>
      <c r="N179" s="109">
        <v>66.322900000000004</v>
      </c>
      <c r="O179" s="63">
        <v>1639</v>
      </c>
      <c r="P179" s="81">
        <v>0.61009999999999998</v>
      </c>
      <c r="Q179" s="81">
        <v>0.21129999999999999</v>
      </c>
      <c r="R179" s="87">
        <f>((K179-D179)/D179)</f>
        <v>1.3113904685178493E-2</v>
      </c>
      <c r="S179" s="87">
        <f t="shared" ref="S179:T182" si="76">((N179-G179)/G179)</f>
        <v>6.119585251708597E-3</v>
      </c>
      <c r="T179" s="87">
        <f t="shared" si="76"/>
        <v>9.2364532019704442E-3</v>
      </c>
      <c r="U179" s="87">
        <f t="shared" ref="U179:V182" si="77">P179-I179</f>
        <v>0.59309999999999996</v>
      </c>
      <c r="V179" s="88">
        <f t="shared" si="77"/>
        <v>-1.1000000000000176E-3</v>
      </c>
    </row>
    <row r="180" spans="1:24">
      <c r="A180" s="167">
        <v>154</v>
      </c>
      <c r="B180" s="160" t="s">
        <v>234</v>
      </c>
      <c r="C180" s="159" t="s">
        <v>235</v>
      </c>
      <c r="D180" s="110">
        <v>922354515.04999995</v>
      </c>
      <c r="E180" s="59">
        <f>(D180/$D$182)</f>
        <v>0.16724985280402127</v>
      </c>
      <c r="F180" s="109">
        <v>20.6191</v>
      </c>
      <c r="G180" s="109">
        <v>26.365200000000002</v>
      </c>
      <c r="H180" s="61">
        <v>1483</v>
      </c>
      <c r="I180" s="80">
        <v>-5.1000000000000004E-3</v>
      </c>
      <c r="J180" s="80">
        <v>7.3200000000000001E-2</v>
      </c>
      <c r="K180" s="110">
        <v>926090434.24000001</v>
      </c>
      <c r="L180" s="84">
        <f>(K180/$K$182)</f>
        <v>0.16662401560165147</v>
      </c>
      <c r="M180" s="109">
        <v>26.3461</v>
      </c>
      <c r="N180" s="109">
        <v>26.530799999999999</v>
      </c>
      <c r="O180" s="61">
        <v>1483</v>
      </c>
      <c r="P180" s="80">
        <v>7.4999999999999997E-3</v>
      </c>
      <c r="Q180" s="80">
        <v>0.20780000000000001</v>
      </c>
      <c r="R180" s="87">
        <f>((K180-D180)/D180)</f>
        <v>4.0504156796994017E-3</v>
      </c>
      <c r="S180" s="87">
        <f t="shared" si="76"/>
        <v>6.2810067816666572E-3</v>
      </c>
      <c r="T180" s="87">
        <f t="shared" si="76"/>
        <v>0</v>
      </c>
      <c r="U180" s="87">
        <f t="shared" si="77"/>
        <v>1.26E-2</v>
      </c>
      <c r="V180" s="88">
        <f t="shared" si="77"/>
        <v>0.1346</v>
      </c>
    </row>
    <row r="181" spans="1:24">
      <c r="A181" s="167">
        <v>155</v>
      </c>
      <c r="B181" s="160" t="s">
        <v>236</v>
      </c>
      <c r="C181" s="159" t="s">
        <v>52</v>
      </c>
      <c r="D181" s="74">
        <v>3687290508.7800002</v>
      </c>
      <c r="E181" s="59">
        <f>(D181/$D$182)</f>
        <v>0.66861362391193924</v>
      </c>
      <c r="F181" s="109">
        <v>2.7</v>
      </c>
      <c r="G181" s="109">
        <v>2.73</v>
      </c>
      <c r="H181" s="61">
        <v>10167</v>
      </c>
      <c r="I181" s="80">
        <v>7.4000000000000003E-3</v>
      </c>
      <c r="J181" s="80">
        <v>0.3125</v>
      </c>
      <c r="K181" s="74">
        <v>3714818947.8699999</v>
      </c>
      <c r="L181" s="84">
        <f>(K181/$K$182)</f>
        <v>0.6683775443973442</v>
      </c>
      <c r="M181" s="109">
        <v>2.7</v>
      </c>
      <c r="N181" s="109">
        <v>2.74</v>
      </c>
      <c r="O181" s="61">
        <v>10167</v>
      </c>
      <c r="P181" s="80">
        <v>3.7000000000000002E-3</v>
      </c>
      <c r="Q181" s="80">
        <v>0.31730000000000003</v>
      </c>
      <c r="R181" s="87">
        <f>((K181-D181)/D181)</f>
        <v>7.4657635530615968E-3</v>
      </c>
      <c r="S181" s="87">
        <f t="shared" si="76"/>
        <v>3.6630036630037476E-3</v>
      </c>
      <c r="T181" s="87">
        <f t="shared" si="76"/>
        <v>0</v>
      </c>
      <c r="U181" s="87">
        <f t="shared" si="77"/>
        <v>-3.7000000000000002E-3</v>
      </c>
      <c r="V181" s="88">
        <f t="shared" si="77"/>
        <v>4.8000000000000265E-3</v>
      </c>
    </row>
    <row r="182" spans="1:24">
      <c r="A182" s="65"/>
      <c r="B182" s="66"/>
      <c r="C182" s="103" t="s">
        <v>56</v>
      </c>
      <c r="D182" s="107">
        <f>SUM(D179:D181)</f>
        <v>5514830055.6700001</v>
      </c>
      <c r="E182" s="69">
        <f>(D182/$D$206)</f>
        <v>1.4682432008326003E-3</v>
      </c>
      <c r="F182" s="70"/>
      <c r="G182" s="108"/>
      <c r="H182" s="72">
        <f>SUM(H179:H181)</f>
        <v>13274</v>
      </c>
      <c r="I182" s="114"/>
      <c r="J182" s="114"/>
      <c r="K182" s="107">
        <f>SUM(K179:K181)</f>
        <v>5557964924.1800003</v>
      </c>
      <c r="L182" s="69">
        <f>(K182/$K$206)</f>
        <v>1.4697374410028335E-3</v>
      </c>
      <c r="M182" s="70"/>
      <c r="N182" s="108"/>
      <c r="O182" s="72">
        <f>SUM(O179:O181)</f>
        <v>13289</v>
      </c>
      <c r="P182" s="114"/>
      <c r="Q182" s="114"/>
      <c r="R182" s="87">
        <f>((K182-D182)/D182)</f>
        <v>7.8216133724105744E-3</v>
      </c>
      <c r="S182" s="87" t="e">
        <f t="shared" si="76"/>
        <v>#DIV/0!</v>
      </c>
      <c r="T182" s="87">
        <f t="shared" si="76"/>
        <v>1.130028627391894E-3</v>
      </c>
      <c r="U182" s="87">
        <f t="shared" si="77"/>
        <v>0</v>
      </c>
      <c r="V182" s="88">
        <f t="shared" si="77"/>
        <v>0</v>
      </c>
    </row>
    <row r="183" spans="1:24" ht="6" customHeight="1">
      <c r="A183" s="65"/>
      <c r="B183" s="172"/>
      <c r="C183" s="172"/>
      <c r="D183" s="172"/>
      <c r="E183" s="172"/>
      <c r="F183" s="172"/>
      <c r="G183" s="172"/>
      <c r="H183" s="172"/>
      <c r="I183" s="172"/>
      <c r="J183" s="172"/>
      <c r="K183" s="172"/>
      <c r="L183" s="172"/>
      <c r="M183" s="172"/>
      <c r="N183" s="172"/>
      <c r="O183" s="172"/>
      <c r="P183" s="172"/>
      <c r="Q183" s="172"/>
      <c r="R183" s="172"/>
      <c r="S183" s="172"/>
      <c r="T183" s="172"/>
      <c r="U183" s="172"/>
      <c r="V183" s="172"/>
    </row>
    <row r="184" spans="1:24" ht="15" customHeight="1">
      <c r="A184" s="170" t="s">
        <v>237</v>
      </c>
      <c r="B184" s="170"/>
      <c r="C184" s="170"/>
      <c r="D184" s="170"/>
      <c r="E184" s="170"/>
      <c r="F184" s="170"/>
      <c r="G184" s="170"/>
      <c r="H184" s="170"/>
      <c r="I184" s="170"/>
      <c r="J184" s="170"/>
      <c r="K184" s="170"/>
      <c r="L184" s="170"/>
      <c r="M184" s="170"/>
      <c r="N184" s="170"/>
      <c r="O184" s="170"/>
      <c r="P184" s="170"/>
      <c r="Q184" s="170"/>
      <c r="R184" s="170"/>
      <c r="S184" s="170"/>
      <c r="T184" s="170"/>
      <c r="U184" s="170"/>
      <c r="V184" s="170"/>
    </row>
    <row r="185" spans="1:24">
      <c r="A185" s="173" t="s">
        <v>238</v>
      </c>
      <c r="B185" s="173"/>
      <c r="C185" s="173"/>
      <c r="D185" s="173"/>
      <c r="E185" s="173"/>
      <c r="F185" s="173"/>
      <c r="G185" s="173"/>
      <c r="H185" s="173"/>
      <c r="I185" s="173"/>
      <c r="J185" s="173"/>
      <c r="K185" s="173"/>
      <c r="L185" s="173"/>
      <c r="M185" s="173"/>
      <c r="N185" s="173"/>
      <c r="O185" s="173"/>
      <c r="P185" s="173"/>
      <c r="Q185" s="173"/>
      <c r="R185" s="173"/>
      <c r="S185" s="173"/>
      <c r="T185" s="173"/>
      <c r="U185" s="173"/>
      <c r="V185" s="173"/>
    </row>
    <row r="186" spans="1:24">
      <c r="A186" s="167">
        <v>156</v>
      </c>
      <c r="B186" s="160" t="s">
        <v>239</v>
      </c>
      <c r="C186" s="159" t="s">
        <v>240</v>
      </c>
      <c r="D186" s="77">
        <v>4502022692.3900003</v>
      </c>
      <c r="E186" s="59">
        <f>(D186/$D$205)</f>
        <v>8.8860585582106855E-2</v>
      </c>
      <c r="F186" s="111">
        <v>2.1</v>
      </c>
      <c r="G186" s="111">
        <v>2.14</v>
      </c>
      <c r="H186" s="76">
        <v>15013</v>
      </c>
      <c r="I186" s="83">
        <v>-7.3000000000000001E-3</v>
      </c>
      <c r="J186" s="83">
        <v>0.21609999999999999</v>
      </c>
      <c r="K186" s="77">
        <v>4551084869.0299997</v>
      </c>
      <c r="L186" s="59">
        <f>(K186/$K$205)</f>
        <v>8.8918957412005659E-2</v>
      </c>
      <c r="M186" s="111">
        <v>2.12</v>
      </c>
      <c r="N186" s="111">
        <v>2.16</v>
      </c>
      <c r="O186" s="76">
        <v>15014</v>
      </c>
      <c r="P186" s="83">
        <v>1.0699999999999999E-2</v>
      </c>
      <c r="Q186" s="83">
        <v>0.22850000000000001</v>
      </c>
      <c r="R186" s="87">
        <f>((K186-D186)/D186)</f>
        <v>1.0897807495046994E-2</v>
      </c>
      <c r="S186" s="87">
        <f>((N186-G186)/G186)</f>
        <v>9.3457943925233725E-3</v>
      </c>
      <c r="T186" s="87">
        <f>((O186-H186)/H186)</f>
        <v>6.6608938919603006E-5</v>
      </c>
      <c r="U186" s="87">
        <f>P186-I186</f>
        <v>1.7999999999999999E-2</v>
      </c>
      <c r="V186" s="88">
        <f>Q186-J186</f>
        <v>1.2400000000000022E-2</v>
      </c>
    </row>
    <row r="187" spans="1:24">
      <c r="A187" s="167">
        <v>157</v>
      </c>
      <c r="B187" s="160" t="s">
        <v>241</v>
      </c>
      <c r="C187" s="159" t="s">
        <v>52</v>
      </c>
      <c r="D187" s="77">
        <v>605163398.15999997</v>
      </c>
      <c r="E187" s="59">
        <f>(D187/$D$205)</f>
        <v>1.1944669675755791E-2</v>
      </c>
      <c r="F187" s="111">
        <v>416.36</v>
      </c>
      <c r="G187" s="111">
        <v>421.66</v>
      </c>
      <c r="H187" s="76">
        <v>857</v>
      </c>
      <c r="I187" s="83">
        <v>3.5999999999999999E-3</v>
      </c>
      <c r="J187" s="83">
        <v>0.1042</v>
      </c>
      <c r="K187" s="77">
        <v>602481175.49000001</v>
      </c>
      <c r="L187" s="59">
        <f>(K187/$K$205)</f>
        <v>1.177125883753263E-2</v>
      </c>
      <c r="M187" s="111">
        <v>418.29</v>
      </c>
      <c r="N187" s="111">
        <v>423.66</v>
      </c>
      <c r="O187" s="76">
        <v>852</v>
      </c>
      <c r="P187" s="83">
        <v>4.7000000000000002E-3</v>
      </c>
      <c r="Q187" s="83">
        <v>0.1094</v>
      </c>
      <c r="R187" s="87">
        <f>((K187-D187)/D187)</f>
        <v>-4.4322288462178283E-3</v>
      </c>
      <c r="S187" s="87">
        <f>((N187-G187)/G187)</f>
        <v>4.7431579945927992E-3</v>
      </c>
      <c r="T187" s="87">
        <f>((O187-H187)/H187)</f>
        <v>-5.8343057176196032E-3</v>
      </c>
      <c r="U187" s="87">
        <f>P187-I187</f>
        <v>1.1000000000000003E-3</v>
      </c>
      <c r="V187" s="88">
        <f>Q187-J187</f>
        <v>5.1999999999999963E-3</v>
      </c>
    </row>
    <row r="188" spans="1:24" ht="6" customHeight="1">
      <c r="A188" s="65"/>
      <c r="B188" s="172"/>
      <c r="C188" s="172"/>
      <c r="D188" s="172"/>
      <c r="E188" s="172"/>
      <c r="F188" s="172"/>
      <c r="G188" s="172"/>
      <c r="H188" s="172"/>
      <c r="I188" s="172"/>
      <c r="J188" s="172"/>
      <c r="K188" s="172"/>
      <c r="L188" s="172"/>
      <c r="M188" s="172"/>
      <c r="N188" s="172"/>
      <c r="O188" s="172"/>
      <c r="P188" s="172"/>
      <c r="Q188" s="172"/>
      <c r="R188" s="172"/>
      <c r="S188" s="172"/>
      <c r="T188" s="172"/>
      <c r="U188" s="172"/>
      <c r="V188" s="172"/>
    </row>
    <row r="189" spans="1:24" ht="15" customHeight="1">
      <c r="A189" s="173" t="s">
        <v>179</v>
      </c>
      <c r="B189" s="173"/>
      <c r="C189" s="173"/>
      <c r="D189" s="173"/>
      <c r="E189" s="173"/>
      <c r="F189" s="173"/>
      <c r="G189" s="173"/>
      <c r="H189" s="173"/>
      <c r="I189" s="173"/>
      <c r="J189" s="173"/>
      <c r="K189" s="173"/>
      <c r="L189" s="173"/>
      <c r="M189" s="173"/>
      <c r="N189" s="173"/>
      <c r="O189" s="173"/>
      <c r="P189" s="173"/>
      <c r="Q189" s="173"/>
      <c r="R189" s="173"/>
      <c r="S189" s="173"/>
      <c r="T189" s="173"/>
      <c r="U189" s="173"/>
      <c r="V189" s="173"/>
    </row>
    <row r="190" spans="1:24">
      <c r="A190" s="167">
        <v>158</v>
      </c>
      <c r="B190" s="160" t="s">
        <v>242</v>
      </c>
      <c r="C190" s="159" t="s">
        <v>243</v>
      </c>
      <c r="D190" s="58">
        <v>358770299.74000001</v>
      </c>
      <c r="E190" s="59">
        <f t="shared" ref="E190:E201" si="78">(D190/$D$205)</f>
        <v>7.0813812152154872E-3</v>
      </c>
      <c r="F190" s="109" t="s">
        <v>244</v>
      </c>
      <c r="G190" s="109">
        <v>1041.6300000000001</v>
      </c>
      <c r="H190" s="61">
        <v>19</v>
      </c>
      <c r="I190" s="80">
        <v>3.5999999999999999E-3</v>
      </c>
      <c r="J190" s="80">
        <v>0.1163</v>
      </c>
      <c r="K190" s="58">
        <v>338832296.69999999</v>
      </c>
      <c r="L190" s="59">
        <f t="shared" ref="L190:L201" si="79">(K190/$K$205)</f>
        <v>6.6200950821866033E-3</v>
      </c>
      <c r="M190" s="109">
        <v>1043.7</v>
      </c>
      <c r="N190" s="109">
        <v>1043.7</v>
      </c>
      <c r="O190" s="61">
        <v>18</v>
      </c>
      <c r="P190" s="80">
        <v>9.2999999999999992E-3</v>
      </c>
      <c r="Q190" s="80">
        <v>0.12559999999999999</v>
      </c>
      <c r="R190" s="87">
        <f>((K190-D190)/D190)</f>
        <v>-5.5573170506168001E-2</v>
      </c>
      <c r="S190" s="87">
        <f>((N190-G190)/G190)</f>
        <v>1.9872699519022457E-3</v>
      </c>
      <c r="T190" s="87">
        <f>((O190-H190)/H190)</f>
        <v>-5.2631578947368418E-2</v>
      </c>
      <c r="U190" s="87">
        <f>P190-I190</f>
        <v>5.6999999999999993E-3</v>
      </c>
      <c r="V190" s="88">
        <f>Q190-J190</f>
        <v>9.2999999999999888E-3</v>
      </c>
      <c r="X190" s="115"/>
    </row>
    <row r="191" spans="1:24">
      <c r="A191" s="167">
        <v>159</v>
      </c>
      <c r="B191" s="160" t="s">
        <v>245</v>
      </c>
      <c r="C191" s="159" t="s">
        <v>70</v>
      </c>
      <c r="D191" s="58">
        <v>130875919.68000001</v>
      </c>
      <c r="E191" s="59">
        <f t="shared" si="78"/>
        <v>2.5832190675137822E-3</v>
      </c>
      <c r="F191" s="109">
        <v>117.72</v>
      </c>
      <c r="G191" s="109">
        <v>117.72</v>
      </c>
      <c r="H191" s="61">
        <v>75</v>
      </c>
      <c r="I191" s="80">
        <v>2.5999999999999999E-3</v>
      </c>
      <c r="J191" s="80">
        <v>0.14480000000000001</v>
      </c>
      <c r="K191" s="58">
        <v>131469248.08</v>
      </c>
      <c r="L191" s="59">
        <f t="shared" si="79"/>
        <v>2.568642160590055E-3</v>
      </c>
      <c r="M191" s="109">
        <v>118.02</v>
      </c>
      <c r="N191" s="109">
        <v>118.02</v>
      </c>
      <c r="O191" s="61">
        <v>75</v>
      </c>
      <c r="P191" s="80">
        <v>2.5000000000000001E-3</v>
      </c>
      <c r="Q191" s="80">
        <v>0.14460000000000001</v>
      </c>
      <c r="R191" s="87">
        <f t="shared" ref="R191:R206" si="80">((K191-D191)/D191)</f>
        <v>4.5335184765136084E-3</v>
      </c>
      <c r="S191" s="87">
        <f t="shared" ref="S191:S205" si="81">((N191-G191)/G191)</f>
        <v>2.548419979612616E-3</v>
      </c>
      <c r="T191" s="87">
        <f t="shared" ref="T191:T205" si="82">((O191-H191)/H191)</f>
        <v>0</v>
      </c>
      <c r="U191" s="87">
        <f t="shared" ref="U191:U205" si="83">P191-I191</f>
        <v>-9.9999999999999829E-5</v>
      </c>
      <c r="V191" s="88">
        <f t="shared" ref="V191:V205" si="84">Q191-J191</f>
        <v>-2.0000000000000573E-4</v>
      </c>
    </row>
    <row r="192" spans="1:24">
      <c r="A192" s="167">
        <v>160</v>
      </c>
      <c r="B192" s="162" t="s">
        <v>246</v>
      </c>
      <c r="C192" s="159" t="s">
        <v>76</v>
      </c>
      <c r="D192" s="74">
        <v>60564986.340000004</v>
      </c>
      <c r="E192" s="59">
        <f t="shared" si="78"/>
        <v>1.1954271490105777E-3</v>
      </c>
      <c r="F192" s="109">
        <v>104.78</v>
      </c>
      <c r="G192" s="109">
        <v>108.08</v>
      </c>
      <c r="H192" s="61">
        <v>14</v>
      </c>
      <c r="I192" s="80">
        <v>2E-3</v>
      </c>
      <c r="J192" s="80">
        <v>0.104</v>
      </c>
      <c r="K192" s="74">
        <v>58800476.670000002</v>
      </c>
      <c r="L192" s="59">
        <f t="shared" si="79"/>
        <v>1.1488419203968261E-3</v>
      </c>
      <c r="M192" s="109">
        <v>104.93</v>
      </c>
      <c r="N192" s="109">
        <v>108.34</v>
      </c>
      <c r="O192" s="61">
        <v>14</v>
      </c>
      <c r="P192" s="80">
        <v>2.0999999999999999E-3</v>
      </c>
      <c r="Q192" s="80">
        <v>0.1062</v>
      </c>
      <c r="R192" s="87">
        <f t="shared" si="80"/>
        <v>-2.9134154511228472E-2</v>
      </c>
      <c r="S192" s="87">
        <f t="shared" si="81"/>
        <v>2.4056254626203285E-3</v>
      </c>
      <c r="T192" s="87">
        <f t="shared" si="82"/>
        <v>0</v>
      </c>
      <c r="U192" s="87">
        <f t="shared" si="83"/>
        <v>9.9999999999999829E-5</v>
      </c>
      <c r="V192" s="88">
        <f t="shared" si="84"/>
        <v>2.2000000000000075E-3</v>
      </c>
    </row>
    <row r="193" spans="1:22">
      <c r="A193" s="167">
        <v>161</v>
      </c>
      <c r="B193" s="160" t="s">
        <v>247</v>
      </c>
      <c r="C193" s="159" t="s">
        <v>79</v>
      </c>
      <c r="D193" s="74">
        <v>104975957.11</v>
      </c>
      <c r="E193" s="59">
        <v>0</v>
      </c>
      <c r="F193" s="109">
        <v>1.0226999999999999</v>
      </c>
      <c r="G193" s="109">
        <v>1.0226999999999999</v>
      </c>
      <c r="H193" s="61">
        <v>24</v>
      </c>
      <c r="I193" s="80">
        <v>1.763E-3</v>
      </c>
      <c r="J193" s="80">
        <v>8.7800000000000003E-2</v>
      </c>
      <c r="K193" s="74">
        <v>104978421.81999999</v>
      </c>
      <c r="L193" s="59">
        <f t="shared" si="79"/>
        <v>2.0510652048072392E-3</v>
      </c>
      <c r="M193" s="109">
        <v>1.0250999999999999</v>
      </c>
      <c r="N193" s="109">
        <v>1.0250999999999999</v>
      </c>
      <c r="O193" s="61">
        <v>24</v>
      </c>
      <c r="P193" s="80">
        <v>1.6609999999999999E-3</v>
      </c>
      <c r="Q193" s="80">
        <v>9.1176999999999994E-2</v>
      </c>
      <c r="R193" s="87">
        <f t="shared" ref="R193:R194" si="85">((K193-D193)/D193)</f>
        <v>2.3478804745840754E-5</v>
      </c>
      <c r="S193" s="87">
        <f t="shared" ref="S193:S194" si="86">((N193-G193)/G193)</f>
        <v>2.3467292461131885E-3</v>
      </c>
      <c r="T193" s="87">
        <f t="shared" ref="T193" si="87">((O193-H193)/H193)</f>
        <v>0</v>
      </c>
      <c r="U193" s="87">
        <f t="shared" ref="U193" si="88">P193-I193</f>
        <v>-1.0200000000000009E-4</v>
      </c>
      <c r="V193" s="88">
        <f t="shared" ref="V193" si="89">Q193-J193</f>
        <v>3.3769999999999911E-3</v>
      </c>
    </row>
    <row r="194" spans="1:22">
      <c r="A194" s="167">
        <v>162</v>
      </c>
      <c r="B194" s="160" t="s">
        <v>248</v>
      </c>
      <c r="C194" s="159" t="s">
        <v>34</v>
      </c>
      <c r="D194" s="58">
        <v>8075024305.3000002</v>
      </c>
      <c r="E194" s="59">
        <f t="shared" si="78"/>
        <v>0.1593842229119852</v>
      </c>
      <c r="F194" s="109">
        <v>140.02000000000001</v>
      </c>
      <c r="G194" s="109">
        <v>140.02000000000001</v>
      </c>
      <c r="H194" s="61">
        <v>686</v>
      </c>
      <c r="I194" s="80">
        <v>2.8E-3</v>
      </c>
      <c r="J194" s="80">
        <v>0.1268</v>
      </c>
      <c r="K194" s="58">
        <v>7932084714.6899996</v>
      </c>
      <c r="L194" s="59">
        <f t="shared" si="79"/>
        <v>0.15497682931240714</v>
      </c>
      <c r="M194" s="109">
        <v>140.01</v>
      </c>
      <c r="N194" s="109">
        <v>140.01</v>
      </c>
      <c r="O194" s="61">
        <v>689</v>
      </c>
      <c r="P194" s="80">
        <v>2.8E-3</v>
      </c>
      <c r="Q194" s="80">
        <v>0.1298</v>
      </c>
      <c r="R194" s="87">
        <f t="shared" si="85"/>
        <v>-1.7701444008804152E-2</v>
      </c>
      <c r="S194" s="87">
        <f t="shared" si="86"/>
        <v>-7.1418368804594529E-5</v>
      </c>
      <c r="T194" s="87">
        <f t="shared" si="82"/>
        <v>4.3731778425655978E-3</v>
      </c>
      <c r="U194" s="87">
        <f t="shared" si="83"/>
        <v>0</v>
      </c>
      <c r="V194" s="88">
        <f t="shared" si="84"/>
        <v>3.0000000000000027E-3</v>
      </c>
    </row>
    <row r="195" spans="1:22">
      <c r="A195" s="167">
        <v>163</v>
      </c>
      <c r="B195" s="160" t="s">
        <v>249</v>
      </c>
      <c r="C195" s="159" t="s">
        <v>68</v>
      </c>
      <c r="D195" s="58">
        <v>461641380.885575</v>
      </c>
      <c r="E195" s="59">
        <f t="shared" si="78"/>
        <v>9.1118428842586127E-3</v>
      </c>
      <c r="F195" s="64">
        <v>1153.4532344773199</v>
      </c>
      <c r="G195" s="64">
        <v>1153.4532344773199</v>
      </c>
      <c r="H195" s="61">
        <v>95</v>
      </c>
      <c r="I195" s="80">
        <v>0.17553565503526899</v>
      </c>
      <c r="J195" s="80">
        <v>0.14426663171634799</v>
      </c>
      <c r="K195" s="58">
        <v>463196094.18502897</v>
      </c>
      <c r="L195" s="59">
        <f t="shared" si="79"/>
        <v>9.0499111656918776E-3</v>
      </c>
      <c r="M195" s="64">
        <v>1157.3378279262399</v>
      </c>
      <c r="N195" s="64">
        <v>1157.3378279262399</v>
      </c>
      <c r="O195" s="61">
        <v>95</v>
      </c>
      <c r="P195" s="80">
        <v>0.176087540539453</v>
      </c>
      <c r="Q195" s="80">
        <v>0.14545327591517901</v>
      </c>
      <c r="R195" s="87">
        <f t="shared" si="80"/>
        <v>3.3677944911947432E-3</v>
      </c>
      <c r="S195" s="87">
        <f t="shared" si="81"/>
        <v>3.3677944911917174E-3</v>
      </c>
      <c r="T195" s="87">
        <f t="shared" si="82"/>
        <v>0</v>
      </c>
      <c r="U195" s="87">
        <f t="shared" si="83"/>
        <v>5.5188550418400206E-4</v>
      </c>
      <c r="V195" s="88">
        <f t="shared" si="84"/>
        <v>1.1866441988310217E-3</v>
      </c>
    </row>
    <row r="196" spans="1:22">
      <c r="A196" s="167">
        <v>164</v>
      </c>
      <c r="B196" s="160" t="s">
        <v>250</v>
      </c>
      <c r="C196" s="159" t="s">
        <v>240</v>
      </c>
      <c r="D196" s="58">
        <v>23807608185.77</v>
      </c>
      <c r="E196" s="59">
        <f t="shared" si="78"/>
        <v>0.46991278126450114</v>
      </c>
      <c r="F196" s="64">
        <v>1229.28</v>
      </c>
      <c r="G196" s="64">
        <v>1229.28</v>
      </c>
      <c r="H196" s="61">
        <v>9547</v>
      </c>
      <c r="I196" s="80">
        <v>2.5000000000000001E-3</v>
      </c>
      <c r="J196" s="80">
        <v>0.1215</v>
      </c>
      <c r="K196" s="58">
        <v>24225967977.98</v>
      </c>
      <c r="L196" s="59">
        <f t="shared" si="79"/>
        <v>0.47332622372250838</v>
      </c>
      <c r="M196" s="64">
        <v>1233.19</v>
      </c>
      <c r="N196" s="64">
        <v>1233.19</v>
      </c>
      <c r="O196" s="61">
        <v>9547</v>
      </c>
      <c r="P196" s="80">
        <v>3.2000000000000002E-3</v>
      </c>
      <c r="Q196" s="80">
        <v>0.12470000000000001</v>
      </c>
      <c r="R196" s="87">
        <f t="shared" si="80"/>
        <v>1.7572525091372099E-2</v>
      </c>
      <c r="S196" s="87">
        <f t="shared" si="81"/>
        <v>3.1807236756476003E-3</v>
      </c>
      <c r="T196" s="87">
        <f t="shared" si="82"/>
        <v>0</v>
      </c>
      <c r="U196" s="87">
        <f t="shared" si="83"/>
        <v>7.000000000000001E-4</v>
      </c>
      <c r="V196" s="88">
        <f t="shared" si="84"/>
        <v>3.2000000000000084E-3</v>
      </c>
    </row>
    <row r="197" spans="1:22">
      <c r="A197" s="167">
        <v>165</v>
      </c>
      <c r="B197" s="160" t="s">
        <v>251</v>
      </c>
      <c r="C197" s="159" t="s">
        <v>252</v>
      </c>
      <c r="D197" s="58">
        <v>381778970.04000002</v>
      </c>
      <c r="E197" s="59">
        <f t="shared" si="78"/>
        <v>7.5355246205296503E-3</v>
      </c>
      <c r="F197" s="111">
        <v>124.36</v>
      </c>
      <c r="G197" s="111">
        <v>124.64</v>
      </c>
      <c r="H197" s="76">
        <v>168</v>
      </c>
      <c r="I197" s="80">
        <v>-2E-3</v>
      </c>
      <c r="J197" s="80">
        <v>0.25209999999999999</v>
      </c>
      <c r="K197" s="58">
        <v>386069127.24000001</v>
      </c>
      <c r="L197" s="59">
        <f t="shared" si="79"/>
        <v>7.54300683706223E-3</v>
      </c>
      <c r="M197" s="111">
        <v>125.75</v>
      </c>
      <c r="N197" s="111">
        <v>126.04</v>
      </c>
      <c r="O197" s="76">
        <v>168</v>
      </c>
      <c r="P197" s="80">
        <v>1.12E-2</v>
      </c>
      <c r="Q197" s="80">
        <v>0.26619999999999999</v>
      </c>
      <c r="R197" s="87">
        <f t="shared" si="80"/>
        <v>1.1237280040727483E-2</v>
      </c>
      <c r="S197" s="87">
        <f t="shared" si="81"/>
        <v>1.1232349165596964E-2</v>
      </c>
      <c r="T197" s="87">
        <f t="shared" si="82"/>
        <v>0</v>
      </c>
      <c r="U197" s="87">
        <f t="shared" si="83"/>
        <v>1.32E-2</v>
      </c>
      <c r="V197" s="88">
        <f t="shared" si="84"/>
        <v>1.4100000000000001E-2</v>
      </c>
    </row>
    <row r="198" spans="1:22">
      <c r="A198" s="167">
        <v>166</v>
      </c>
      <c r="B198" s="160" t="s">
        <v>253</v>
      </c>
      <c r="C198" s="159" t="s">
        <v>252</v>
      </c>
      <c r="D198" s="58">
        <v>105930830.91</v>
      </c>
      <c r="E198" s="59">
        <f t="shared" si="78"/>
        <v>2.0908547799577174E-3</v>
      </c>
      <c r="F198" s="111">
        <v>109.6</v>
      </c>
      <c r="G198" s="111">
        <v>109.6</v>
      </c>
      <c r="H198" s="76">
        <v>73</v>
      </c>
      <c r="I198" s="80">
        <v>4.1999999999999997E-3</v>
      </c>
      <c r="J198" s="80">
        <v>9.4399999999999998E-2</v>
      </c>
      <c r="K198" s="58">
        <v>106377023.47</v>
      </c>
      <c r="L198" s="59">
        <f t="shared" si="79"/>
        <v>2.078391041202643E-3</v>
      </c>
      <c r="M198" s="111">
        <v>110.06</v>
      </c>
      <c r="N198" s="111">
        <v>110.06</v>
      </c>
      <c r="O198" s="76">
        <v>73</v>
      </c>
      <c r="P198" s="80">
        <v>4.1999999999999997E-3</v>
      </c>
      <c r="Q198" s="80">
        <v>9.9000000000000005E-2</v>
      </c>
      <c r="R198" s="87">
        <f t="shared" si="80"/>
        <v>4.212112339410351E-3</v>
      </c>
      <c r="S198" s="87">
        <f t="shared" si="81"/>
        <v>4.197080291970876E-3</v>
      </c>
      <c r="T198" s="87">
        <f t="shared" si="82"/>
        <v>0</v>
      </c>
      <c r="U198" s="87">
        <f t="shared" si="83"/>
        <v>0</v>
      </c>
      <c r="V198" s="88">
        <f t="shared" si="84"/>
        <v>4.6000000000000069E-3</v>
      </c>
    </row>
    <row r="199" spans="1:22" ht="13.5" customHeight="1">
      <c r="A199" s="167">
        <v>167</v>
      </c>
      <c r="B199" s="160" t="s">
        <v>254</v>
      </c>
      <c r="C199" s="159" t="s">
        <v>93</v>
      </c>
      <c r="D199" s="58">
        <v>1049448646.58</v>
      </c>
      <c r="E199" s="59">
        <f t="shared" si="78"/>
        <v>2.071393852169634E-2</v>
      </c>
      <c r="F199" s="90">
        <v>103.72</v>
      </c>
      <c r="G199" s="90">
        <v>103.72</v>
      </c>
      <c r="H199" s="61">
        <v>583</v>
      </c>
      <c r="I199" s="80">
        <v>0.23</v>
      </c>
      <c r="J199" s="80">
        <v>0.1007</v>
      </c>
      <c r="K199" s="58">
        <v>1249691568.6700001</v>
      </c>
      <c r="L199" s="59">
        <f t="shared" si="79"/>
        <v>2.4416435766532789E-2</v>
      </c>
      <c r="M199" s="90">
        <v>104.05</v>
      </c>
      <c r="N199" s="90">
        <v>104.05</v>
      </c>
      <c r="O199" s="61">
        <v>584</v>
      </c>
      <c r="P199" s="80">
        <v>0.32</v>
      </c>
      <c r="Q199" s="80">
        <v>0.10390000000000001</v>
      </c>
      <c r="R199" s="87">
        <f t="shared" si="80"/>
        <v>0.19080773770356699</v>
      </c>
      <c r="S199" s="87">
        <f t="shared" si="81"/>
        <v>3.1816428846895323E-3</v>
      </c>
      <c r="T199" s="87">
        <f t="shared" si="82"/>
        <v>1.7152658662092624E-3</v>
      </c>
      <c r="U199" s="87">
        <f t="shared" si="83"/>
        <v>0.09</v>
      </c>
      <c r="V199" s="88">
        <f t="shared" si="84"/>
        <v>3.2000000000000084E-3</v>
      </c>
    </row>
    <row r="200" spans="1:22" ht="15.75" customHeight="1">
      <c r="A200" s="167">
        <v>168</v>
      </c>
      <c r="B200" s="160" t="s">
        <v>255</v>
      </c>
      <c r="C200" s="159" t="s">
        <v>52</v>
      </c>
      <c r="D200" s="58">
        <v>7000977271.2200003</v>
      </c>
      <c r="E200" s="59">
        <f t="shared" si="78"/>
        <v>0.13818476326634599</v>
      </c>
      <c r="F200" s="90">
        <v>133.28</v>
      </c>
      <c r="G200" s="90">
        <v>133.28</v>
      </c>
      <c r="H200" s="61">
        <v>1251</v>
      </c>
      <c r="I200" s="80">
        <v>2.0000000000000001E-4</v>
      </c>
      <c r="J200" s="80">
        <v>3.8899999999999997E-2</v>
      </c>
      <c r="K200" s="58">
        <v>7004157141.1000004</v>
      </c>
      <c r="L200" s="59">
        <f t="shared" si="79"/>
        <v>0.13684700867140889</v>
      </c>
      <c r="M200" s="90">
        <v>133.30000000000001</v>
      </c>
      <c r="N200" s="90">
        <v>133.30000000000001</v>
      </c>
      <c r="O200" s="61">
        <v>1255</v>
      </c>
      <c r="P200" s="80">
        <v>2.0000000000000001E-4</v>
      </c>
      <c r="Q200" s="80">
        <v>3.9100000000000003E-2</v>
      </c>
      <c r="R200" s="87">
        <f t="shared" si="80"/>
        <v>4.5420371425459376E-4</v>
      </c>
      <c r="S200" s="87">
        <f t="shared" si="81"/>
        <v>1.5006002400968062E-4</v>
      </c>
      <c r="T200" s="87">
        <f t="shared" si="82"/>
        <v>3.1974420463629096E-3</v>
      </c>
      <c r="U200" s="87">
        <f t="shared" si="83"/>
        <v>0</v>
      </c>
      <c r="V200" s="88">
        <f t="shared" si="84"/>
        <v>2.0000000000000573E-4</v>
      </c>
    </row>
    <row r="201" spans="1:22">
      <c r="A201" s="167">
        <v>169</v>
      </c>
      <c r="B201" s="160" t="s">
        <v>256</v>
      </c>
      <c r="C201" s="159" t="s">
        <v>55</v>
      </c>
      <c r="D201" s="58">
        <v>3814719751.1900001</v>
      </c>
      <c r="E201" s="59">
        <f t="shared" si="78"/>
        <v>7.5294651778491622E-2</v>
      </c>
      <c r="F201" s="90">
        <v>1.1948000000000001</v>
      </c>
      <c r="G201" s="90">
        <v>1.1948000000000001</v>
      </c>
      <c r="H201" s="61">
        <v>1166</v>
      </c>
      <c r="I201" s="80">
        <v>9.6100000000000005E-2</v>
      </c>
      <c r="J201" s="80">
        <v>9.64E-2</v>
      </c>
      <c r="K201" s="58">
        <v>3816393984.71</v>
      </c>
      <c r="L201" s="59">
        <f t="shared" si="79"/>
        <v>7.4564589314325552E-2</v>
      </c>
      <c r="M201" s="90">
        <v>1.1969000000000001</v>
      </c>
      <c r="N201" s="90">
        <v>1.1969000000000001</v>
      </c>
      <c r="O201" s="61">
        <v>1179</v>
      </c>
      <c r="P201" s="80">
        <v>9.5899999999999999E-2</v>
      </c>
      <c r="Q201" s="80">
        <v>9.6199999999999994E-2</v>
      </c>
      <c r="R201" s="87">
        <f t="shared" si="80"/>
        <v>4.3888768486274898E-4</v>
      </c>
      <c r="S201" s="87">
        <f t="shared" si="81"/>
        <v>1.757616337462329E-3</v>
      </c>
      <c r="T201" s="87">
        <f t="shared" si="82"/>
        <v>1.1149228130360206E-2</v>
      </c>
      <c r="U201" s="87">
        <f t="shared" si="83"/>
        <v>-2.0000000000000573E-4</v>
      </c>
      <c r="V201" s="88">
        <f t="shared" si="84"/>
        <v>-2.0000000000000573E-4</v>
      </c>
    </row>
    <row r="202" spans="1:22" ht="6" customHeight="1">
      <c r="A202" s="65"/>
      <c r="B202" s="172"/>
      <c r="C202" s="172"/>
      <c r="D202" s="172"/>
      <c r="E202" s="172"/>
      <c r="F202" s="172"/>
      <c r="G202" s="172"/>
      <c r="H202" s="172"/>
      <c r="I202" s="172"/>
      <c r="J202" s="172"/>
      <c r="K202" s="172"/>
      <c r="L202" s="172"/>
      <c r="M202" s="172"/>
      <c r="N202" s="172"/>
      <c r="O202" s="172"/>
      <c r="P202" s="172"/>
      <c r="Q202" s="172"/>
      <c r="R202" s="172"/>
      <c r="S202" s="172"/>
      <c r="T202" s="172"/>
      <c r="U202" s="172"/>
      <c r="V202" s="172"/>
    </row>
    <row r="203" spans="1:22">
      <c r="A203" s="173" t="s">
        <v>257</v>
      </c>
      <c r="B203" s="173"/>
      <c r="C203" s="173"/>
      <c r="D203" s="173"/>
      <c r="E203" s="173"/>
      <c r="F203" s="173"/>
      <c r="G203" s="173"/>
      <c r="H203" s="173"/>
      <c r="I203" s="173"/>
      <c r="J203" s="173"/>
      <c r="K203" s="173"/>
      <c r="L203" s="173"/>
      <c r="M203" s="173"/>
      <c r="N203" s="173"/>
      <c r="O203" s="173"/>
      <c r="P203" s="173"/>
      <c r="Q203" s="173"/>
      <c r="R203" s="173"/>
      <c r="S203" s="173"/>
      <c r="T203" s="173"/>
      <c r="U203" s="173"/>
      <c r="V203" s="173"/>
    </row>
    <row r="204" spans="1:22">
      <c r="A204" s="188">
        <v>170</v>
      </c>
      <c r="B204" s="160" t="s">
        <v>258</v>
      </c>
      <c r="C204" s="159" t="s">
        <v>240</v>
      </c>
      <c r="D204" s="58">
        <v>204384693.94999999</v>
      </c>
      <c r="E204" s="59">
        <f t="shared" ref="E204" si="90">(D204/$D$205)</f>
        <v>4.0341297299803522E-3</v>
      </c>
      <c r="F204" s="64">
        <v>1095.92</v>
      </c>
      <c r="G204" s="64">
        <v>1095.92</v>
      </c>
      <c r="H204" s="61">
        <v>85</v>
      </c>
      <c r="I204" s="80">
        <v>-3.9300000000000002E-2</v>
      </c>
      <c r="J204" s="80">
        <v>9.5899999999999999E-2</v>
      </c>
      <c r="K204" s="58">
        <v>210807143.96000001</v>
      </c>
      <c r="L204" s="59">
        <f t="shared" ref="L204" si="91">(K204/$K$205)</f>
        <v>4.1187435513416314E-3</v>
      </c>
      <c r="M204" s="64">
        <v>1130.3599999999999</v>
      </c>
      <c r="N204" s="64">
        <v>1130.3599999999999</v>
      </c>
      <c r="O204" s="61">
        <v>85</v>
      </c>
      <c r="P204" s="80">
        <v>3.1399999999999997E-2</v>
      </c>
      <c r="Q204" s="80">
        <v>0.13039999999999999</v>
      </c>
      <c r="R204" s="87">
        <f t="shared" ref="R204" si="92">((K204-D204)/D204)</f>
        <v>3.1423341375901602E-2</v>
      </c>
      <c r="S204" s="87">
        <f t="shared" ref="S204" si="93">((N204-G204)/G204)</f>
        <v>3.1425651507409141E-2</v>
      </c>
      <c r="T204" s="87">
        <f t="shared" ref="T204" si="94">((O204-H204)/H204)</f>
        <v>0</v>
      </c>
      <c r="U204" s="87">
        <f t="shared" ref="U204" si="95">P204-I204</f>
        <v>7.0699999999999999E-2</v>
      </c>
      <c r="V204" s="88">
        <f t="shared" ref="V204" si="96">Q204-J204</f>
        <v>3.4499999999999989E-2</v>
      </c>
    </row>
    <row r="205" spans="1:22">
      <c r="A205" s="65"/>
      <c r="B205" s="66"/>
      <c r="C205" s="103" t="s">
        <v>56</v>
      </c>
      <c r="D205" s="78">
        <f>SUM(D186:D204)</f>
        <v>50663887289.265587</v>
      </c>
      <c r="E205" s="69">
        <f>(D205/$D$206)</f>
        <v>1.34885222734531E-2</v>
      </c>
      <c r="F205" s="70"/>
      <c r="G205" s="106"/>
      <c r="H205" s="116">
        <f>SUM(H186:H204)</f>
        <v>29656</v>
      </c>
      <c r="I205" s="113"/>
      <c r="J205" s="113"/>
      <c r="K205" s="78">
        <f>SUM(K186:K204)</f>
        <v>51182391263.795021</v>
      </c>
      <c r="L205" s="69">
        <f>(K205/$K$206)</f>
        <v>1.353457205769506E-2</v>
      </c>
      <c r="M205" s="70"/>
      <c r="N205" s="106"/>
      <c r="O205" s="116">
        <f>SUM(O186:O204)</f>
        <v>29672</v>
      </c>
      <c r="P205" s="113"/>
      <c r="Q205" s="113"/>
      <c r="R205" s="87">
        <f t="shared" si="80"/>
        <v>1.0234192484462048E-2</v>
      </c>
      <c r="S205" s="87" t="e">
        <f t="shared" si="81"/>
        <v>#DIV/0!</v>
      </c>
      <c r="T205" s="87">
        <f t="shared" si="82"/>
        <v>5.3951982735365523E-4</v>
      </c>
      <c r="U205" s="87">
        <f t="shared" si="83"/>
        <v>0</v>
      </c>
      <c r="V205" s="88">
        <f t="shared" si="84"/>
        <v>0</v>
      </c>
    </row>
    <row r="206" spans="1:22">
      <c r="A206" s="117"/>
      <c r="B206" s="117"/>
      <c r="C206" s="118" t="s">
        <v>259</v>
      </c>
      <c r="D206" s="119">
        <f>SUM(D24,D63,D102,D136,D144,D176,D182,D205)</f>
        <v>3756073961413.6758</v>
      </c>
      <c r="E206" s="120"/>
      <c r="F206" s="120"/>
      <c r="G206" s="121"/>
      <c r="H206" s="119">
        <f>SUM(H24,H63,H102,H136,H144,H176,H182,H205)</f>
        <v>788339</v>
      </c>
      <c r="I206" s="145"/>
      <c r="J206" s="145"/>
      <c r="K206" s="119">
        <f>SUM(K24,K63,K102,K136,K144,K176,K182,K205)</f>
        <v>3781603958042.7925</v>
      </c>
      <c r="L206" s="120"/>
      <c r="M206" s="120"/>
      <c r="N206" s="121"/>
      <c r="O206" s="119">
        <f>SUM(O24,O63,O102,O136,O144,O176,O182,O205)</f>
        <v>790731</v>
      </c>
      <c r="P206" s="146"/>
      <c r="Q206" s="119"/>
      <c r="R206" s="152">
        <f t="shared" si="80"/>
        <v>6.79698985999412E-3</v>
      </c>
      <c r="S206" s="152"/>
      <c r="T206" s="152"/>
      <c r="U206" s="152"/>
      <c r="V206" s="152"/>
    </row>
    <row r="207" spans="1:22" ht="6.75" customHeight="1">
      <c r="A207" s="65"/>
      <c r="B207" s="172"/>
      <c r="C207" s="172"/>
      <c r="D207" s="172"/>
      <c r="E207" s="172"/>
      <c r="F207" s="172"/>
      <c r="G207" s="172"/>
      <c r="H207" s="172"/>
      <c r="I207" s="172"/>
      <c r="J207" s="172"/>
      <c r="K207" s="172"/>
      <c r="L207" s="172"/>
      <c r="M207" s="172"/>
      <c r="N207" s="172"/>
      <c r="O207" s="172"/>
      <c r="P207" s="172"/>
      <c r="Q207" s="172"/>
      <c r="R207" s="172"/>
      <c r="S207" s="172"/>
      <c r="T207" s="172"/>
      <c r="U207" s="172"/>
      <c r="V207" s="66"/>
    </row>
    <row r="208" spans="1:22" ht="14.4" customHeight="1">
      <c r="A208" s="169" t="s">
        <v>260</v>
      </c>
      <c r="B208" s="170"/>
      <c r="C208" s="170"/>
      <c r="D208" s="170"/>
      <c r="E208" s="170"/>
      <c r="F208" s="170"/>
      <c r="G208" s="170"/>
      <c r="H208" s="170"/>
      <c r="I208" s="170"/>
      <c r="J208" s="170"/>
      <c r="K208" s="170"/>
      <c r="L208" s="170"/>
      <c r="M208" s="170"/>
      <c r="N208" s="170"/>
      <c r="O208" s="170"/>
      <c r="P208" s="170"/>
      <c r="Q208" s="170"/>
      <c r="R208" s="170"/>
      <c r="S208" s="170"/>
      <c r="T208" s="170"/>
      <c r="U208" s="170"/>
      <c r="V208" s="170"/>
    </row>
    <row r="209" spans="1:22" ht="14.4" customHeight="1">
      <c r="A209" s="167">
        <v>1</v>
      </c>
      <c r="B209" s="160" t="s">
        <v>261</v>
      </c>
      <c r="C209" s="159" t="s">
        <v>195</v>
      </c>
      <c r="D209" s="58">
        <v>3963945163.9672499</v>
      </c>
      <c r="E209" s="59">
        <f t="shared" ref="E209" si="97">(D209/$D$205)</f>
        <v>7.8240051761821888E-2</v>
      </c>
      <c r="F209" s="64">
        <v>123.2</v>
      </c>
      <c r="G209" s="64">
        <v>123.2</v>
      </c>
      <c r="H209" s="61">
        <v>9</v>
      </c>
      <c r="I209" s="80">
        <v>0.29366024108794098</v>
      </c>
      <c r="J209" s="80">
        <v>0.23324886562825101</v>
      </c>
      <c r="K209" s="58">
        <v>3899378411.1071701</v>
      </c>
      <c r="L209" s="59">
        <f>(K209/$K$210)</f>
        <v>1</v>
      </c>
      <c r="M209" s="64">
        <v>123.2</v>
      </c>
      <c r="N209" s="64">
        <v>123.2</v>
      </c>
      <c r="O209" s="61">
        <v>9</v>
      </c>
      <c r="P209" s="80">
        <v>0.29366024108794098</v>
      </c>
      <c r="Q209" s="80">
        <v>0.23966251969576499</v>
      </c>
      <c r="R209" s="87">
        <f t="shared" ref="R209" si="98">((K209-D209)/D209)</f>
        <v>-1.6288508087094519E-2</v>
      </c>
      <c r="S209" s="87">
        <f t="shared" ref="S209" si="99">((N209-G209)/G209)</f>
        <v>0</v>
      </c>
      <c r="T209" s="87">
        <f t="shared" ref="T209" si="100">((O209-H209)/H209)</f>
        <v>0</v>
      </c>
      <c r="U209" s="87">
        <f t="shared" ref="U209" si="101">P209-I209</f>
        <v>0</v>
      </c>
      <c r="V209" s="88">
        <f t="shared" ref="V209" si="102">Q209-J209</f>
        <v>6.4136540675139853E-3</v>
      </c>
    </row>
    <row r="210" spans="1:22" ht="14.4" customHeight="1">
      <c r="A210" s="65"/>
      <c r="B210" s="73"/>
      <c r="C210" s="103" t="s">
        <v>56</v>
      </c>
      <c r="D210" s="122">
        <f>SUM(D209:D209)</f>
        <v>3963945163.9672499</v>
      </c>
      <c r="E210" s="73"/>
      <c r="F210" s="73"/>
      <c r="G210" s="73"/>
      <c r="H210" s="122">
        <f>SUM(H209:H209)</f>
        <v>9</v>
      </c>
      <c r="I210" s="73"/>
      <c r="J210" s="73"/>
      <c r="K210" s="122">
        <f>SUM(K209:K209)</f>
        <v>3899378411.1071701</v>
      </c>
      <c r="L210" s="69"/>
      <c r="M210" s="73"/>
      <c r="N210" s="73"/>
      <c r="O210" s="122">
        <f>SUM(O209:O209)</f>
        <v>9</v>
      </c>
      <c r="P210" s="73"/>
      <c r="Q210" s="73"/>
      <c r="R210" s="73"/>
      <c r="S210" s="73"/>
      <c r="T210" s="73"/>
      <c r="U210" s="73"/>
      <c r="V210" s="66"/>
    </row>
    <row r="211" spans="1:22" ht="6" customHeight="1">
      <c r="A211" s="65"/>
      <c r="B211" s="73"/>
      <c r="C211" s="103"/>
      <c r="D211" s="73"/>
      <c r="E211" s="73"/>
      <c r="F211" s="73"/>
      <c r="G211" s="73"/>
      <c r="H211" s="73"/>
      <c r="I211" s="73"/>
      <c r="J211" s="73"/>
      <c r="K211" s="73"/>
      <c r="L211" s="73"/>
      <c r="M211" s="73"/>
      <c r="N211" s="73"/>
      <c r="O211" s="73"/>
      <c r="P211" s="73"/>
      <c r="Q211" s="73"/>
      <c r="R211" s="73"/>
      <c r="S211" s="73"/>
      <c r="T211" s="73"/>
      <c r="U211" s="73"/>
      <c r="V211" s="66"/>
    </row>
    <row r="212" spans="1:22" ht="15.6">
      <c r="A212" s="170" t="s">
        <v>262</v>
      </c>
      <c r="B212" s="170"/>
      <c r="C212" s="170"/>
      <c r="D212" s="170"/>
      <c r="E212" s="170"/>
      <c r="F212" s="170"/>
      <c r="G212" s="170"/>
      <c r="H212" s="170"/>
      <c r="I212" s="170"/>
      <c r="J212" s="170"/>
      <c r="K212" s="170"/>
      <c r="L212" s="170"/>
      <c r="M212" s="170"/>
      <c r="N212" s="170"/>
      <c r="O212" s="170"/>
      <c r="P212" s="170"/>
      <c r="Q212" s="170"/>
      <c r="R212" s="170"/>
      <c r="S212" s="170"/>
      <c r="T212" s="170"/>
      <c r="U212" s="170"/>
      <c r="V212" s="170"/>
    </row>
    <row r="213" spans="1:22">
      <c r="A213" s="167">
        <v>1</v>
      </c>
      <c r="B213" s="160" t="s">
        <v>263</v>
      </c>
      <c r="C213" s="159" t="s">
        <v>264</v>
      </c>
      <c r="D213" s="58">
        <v>103175705234</v>
      </c>
      <c r="E213" s="59">
        <f>(D213/$D$215)</f>
        <v>0.87973507300004594</v>
      </c>
      <c r="F213" s="90">
        <v>107.39</v>
      </c>
      <c r="G213" s="90">
        <v>107.39</v>
      </c>
      <c r="H213" s="61">
        <v>0</v>
      </c>
      <c r="I213" s="80">
        <v>0</v>
      </c>
      <c r="J213" s="80">
        <v>0.13800000000000001</v>
      </c>
      <c r="K213" s="58">
        <v>103175705234</v>
      </c>
      <c r="L213" s="59">
        <f>(K213/$K$215)</f>
        <v>0.87962469660898013</v>
      </c>
      <c r="M213" s="90">
        <v>107.39</v>
      </c>
      <c r="N213" s="90">
        <v>107.39</v>
      </c>
      <c r="O213" s="61">
        <v>0</v>
      </c>
      <c r="P213" s="80">
        <v>0.13800000000000001</v>
      </c>
      <c r="Q213" s="80">
        <v>0.13800000000000001</v>
      </c>
      <c r="R213" s="87">
        <f>((K213-D213)/D213)</f>
        <v>0</v>
      </c>
      <c r="S213" s="87">
        <f>((N213-G213)/G213)</f>
        <v>0</v>
      </c>
      <c r="T213" s="87" t="e">
        <f>((O213-H213)/H213)</f>
        <v>#DIV/0!</v>
      </c>
      <c r="U213" s="87">
        <f>P213-I213</f>
        <v>0.13800000000000001</v>
      </c>
      <c r="V213" s="88">
        <f>Q213-J213</f>
        <v>0</v>
      </c>
    </row>
    <row r="214" spans="1:22">
      <c r="A214" s="167">
        <v>2</v>
      </c>
      <c r="B214" s="160" t="s">
        <v>265</v>
      </c>
      <c r="C214" s="159" t="s">
        <v>55</v>
      </c>
      <c r="D214" s="58">
        <v>14104722022.530001</v>
      </c>
      <c r="E214" s="59">
        <f>(D214/$D$215)</f>
        <v>0.12026492699995404</v>
      </c>
      <c r="F214" s="123">
        <v>1000000</v>
      </c>
      <c r="G214" s="123">
        <v>1000000</v>
      </c>
      <c r="H214" s="61">
        <v>26</v>
      </c>
      <c r="I214" s="80">
        <v>0.1933</v>
      </c>
      <c r="J214" s="80">
        <v>0.1933</v>
      </c>
      <c r="K214" s="58">
        <v>14119438515.09</v>
      </c>
      <c r="L214" s="59">
        <f>(K214/$K$215)</f>
        <v>0.1203753033910199</v>
      </c>
      <c r="M214" s="123">
        <v>1000000</v>
      </c>
      <c r="N214" s="123">
        <v>1000000</v>
      </c>
      <c r="O214" s="61">
        <v>26</v>
      </c>
      <c r="P214" s="80">
        <v>0.193</v>
      </c>
      <c r="Q214" s="80">
        <v>0.193</v>
      </c>
      <c r="R214" s="87">
        <f>((K214-D214)/D214)</f>
        <v>1.0433734558180064E-3</v>
      </c>
      <c r="S214" s="87">
        <f>((N214-G214)/G214)</f>
        <v>0</v>
      </c>
      <c r="T214" s="87">
        <f>((O214-H214)/H214)</f>
        <v>0</v>
      </c>
      <c r="U214" s="87">
        <f>P214-I214</f>
        <v>-2.9999999999999472E-4</v>
      </c>
      <c r="V214" s="88">
        <f>Q214-J214</f>
        <v>-2.9999999999999472E-4</v>
      </c>
    </row>
    <row r="215" spans="1:22">
      <c r="A215" s="117"/>
      <c r="B215" s="117"/>
      <c r="C215" s="118" t="s">
        <v>266</v>
      </c>
      <c r="D215" s="122">
        <f>SUM(D213:D214)</f>
        <v>117280427256.53</v>
      </c>
      <c r="E215" s="124"/>
      <c r="F215" s="125"/>
      <c r="G215" s="125"/>
      <c r="H215" s="122">
        <f>SUM(H213:H214)</f>
        <v>26</v>
      </c>
      <c r="I215" s="147"/>
      <c r="J215" s="147"/>
      <c r="K215" s="122">
        <f>SUM(K213:K214)</f>
        <v>117295143749.09</v>
      </c>
      <c r="L215" s="124"/>
      <c r="M215" s="125"/>
      <c r="N215" s="125"/>
      <c r="O215" s="122">
        <f>SUM(O213:O214)</f>
        <v>26</v>
      </c>
      <c r="P215" s="147"/>
      <c r="Q215" s="122"/>
      <c r="R215" s="152">
        <f>((K215-D215)/D215)</f>
        <v>1.2548123249762604E-4</v>
      </c>
      <c r="S215" s="153"/>
      <c r="T215" s="153"/>
      <c r="U215" s="152"/>
      <c r="V215" s="154"/>
    </row>
    <row r="216" spans="1:22" ht="4.5" customHeight="1">
      <c r="A216" s="65"/>
      <c r="B216" s="171"/>
      <c r="C216" s="171"/>
      <c r="D216" s="171"/>
      <c r="E216" s="171"/>
      <c r="F216" s="171"/>
      <c r="G216" s="171"/>
      <c r="H216" s="171"/>
      <c r="I216" s="171"/>
      <c r="J216" s="171"/>
      <c r="K216" s="171"/>
      <c r="L216" s="171"/>
      <c r="M216" s="171"/>
      <c r="N216" s="171"/>
      <c r="O216" s="171"/>
      <c r="P216" s="171"/>
      <c r="Q216" s="171"/>
      <c r="R216" s="171"/>
      <c r="S216" s="171"/>
      <c r="T216" s="171"/>
      <c r="U216" s="171"/>
      <c r="V216" s="171"/>
    </row>
    <row r="217" spans="1:22" ht="15.6">
      <c r="A217" s="170" t="s">
        <v>267</v>
      </c>
      <c r="B217" s="170"/>
      <c r="C217" s="170"/>
      <c r="D217" s="170"/>
      <c r="E217" s="170"/>
      <c r="F217" s="170"/>
      <c r="G217" s="170"/>
      <c r="H217" s="170"/>
      <c r="I217" s="170"/>
      <c r="J217" s="170"/>
      <c r="K217" s="170"/>
      <c r="L217" s="170"/>
      <c r="M217" s="170"/>
      <c r="N217" s="170"/>
      <c r="O217" s="170"/>
      <c r="P217" s="170"/>
      <c r="Q217" s="170"/>
      <c r="R217" s="170"/>
      <c r="S217" s="170"/>
      <c r="T217" s="170"/>
      <c r="U217" s="170"/>
      <c r="V217" s="170"/>
    </row>
    <row r="218" spans="1:22">
      <c r="A218" s="167">
        <v>1</v>
      </c>
      <c r="B218" s="160" t="s">
        <v>268</v>
      </c>
      <c r="C218" s="159" t="s">
        <v>86</v>
      </c>
      <c r="D218" s="126">
        <v>991853777.47687101</v>
      </c>
      <c r="E218" s="127">
        <f t="shared" ref="E218:E229" si="103">(D218/$D$230)</f>
        <v>7.536844427336245E-2</v>
      </c>
      <c r="F218" s="123">
        <v>233.73</v>
      </c>
      <c r="G218" s="123">
        <v>235.85</v>
      </c>
      <c r="H218" s="128">
        <v>61</v>
      </c>
      <c r="I218" s="82">
        <v>1.09E-2</v>
      </c>
      <c r="J218" s="82">
        <v>0.33516986298783802</v>
      </c>
      <c r="K218" s="126">
        <v>937672379.49427199</v>
      </c>
      <c r="L218" s="127">
        <f t="shared" ref="L218:L229" si="104">(K218/$K$230)</f>
        <v>7.2755007197144658E-2</v>
      </c>
      <c r="M218" s="123">
        <v>220.97</v>
      </c>
      <c r="N218" s="123">
        <v>223.19</v>
      </c>
      <c r="O218" s="128">
        <v>61</v>
      </c>
      <c r="P218" s="82">
        <v>-5.0000000000000001E-4</v>
      </c>
      <c r="Q218" s="82">
        <v>0.26219999999999999</v>
      </c>
      <c r="R218" s="87">
        <f>((K218-D218)/D218)</f>
        <v>-5.4626396766293987E-2</v>
      </c>
      <c r="S218" s="87">
        <f>((N218-G218)/G218)</f>
        <v>-5.3678185287258838E-2</v>
      </c>
      <c r="T218" s="87">
        <f>((O218-H218)/H218)</f>
        <v>0</v>
      </c>
      <c r="U218" s="87">
        <f>P218-I218</f>
        <v>-1.14E-2</v>
      </c>
      <c r="V218" s="88">
        <f>Q218-J218</f>
        <v>-7.296986298783803E-2</v>
      </c>
    </row>
    <row r="219" spans="1:22">
      <c r="A219" s="167">
        <v>2</v>
      </c>
      <c r="B219" s="160" t="s">
        <v>269</v>
      </c>
      <c r="C219" s="159" t="s">
        <v>240</v>
      </c>
      <c r="D219" s="126">
        <v>945747737.14999998</v>
      </c>
      <c r="E219" s="127">
        <f t="shared" si="103"/>
        <v>7.1864963609225729E-2</v>
      </c>
      <c r="F219" s="123">
        <v>26.9</v>
      </c>
      <c r="G219" s="123">
        <v>29.73</v>
      </c>
      <c r="H219" s="128">
        <v>212</v>
      </c>
      <c r="I219" s="82">
        <v>-1.0500000000000001E-2</v>
      </c>
      <c r="J219" s="82">
        <v>0.255</v>
      </c>
      <c r="K219" s="126">
        <v>941752693.28999996</v>
      </c>
      <c r="L219" s="127">
        <f t="shared" si="104"/>
        <v>7.3071603127734946E-2</v>
      </c>
      <c r="M219" s="123">
        <v>26.79</v>
      </c>
      <c r="N219" s="123">
        <v>29.61</v>
      </c>
      <c r="O219" s="128">
        <v>212</v>
      </c>
      <c r="P219" s="82">
        <v>-4.1999999999999997E-3</v>
      </c>
      <c r="Q219" s="82">
        <v>0.24970000000000001</v>
      </c>
      <c r="R219" s="87">
        <f t="shared" ref="R219:R230" si="105">((K219-D219)/D219)</f>
        <v>-4.2242172019771717E-3</v>
      </c>
      <c r="S219" s="87">
        <f t="shared" ref="S219:S230" si="106">((N219-G219)/G219)</f>
        <v>-4.0363269424823741E-3</v>
      </c>
      <c r="T219" s="87">
        <f t="shared" ref="T219:T230" si="107">((O219-H219)/H219)</f>
        <v>0</v>
      </c>
      <c r="U219" s="87">
        <f t="shared" ref="U219:U230" si="108">P219-I219</f>
        <v>6.3000000000000009E-3</v>
      </c>
      <c r="V219" s="88">
        <f t="shared" ref="V219:V230" si="109">Q219-J219</f>
        <v>-5.2999999999999992E-3</v>
      </c>
    </row>
    <row r="220" spans="1:22">
      <c r="A220" s="167">
        <v>3</v>
      </c>
      <c r="B220" s="160" t="s">
        <v>270</v>
      </c>
      <c r="C220" s="159" t="s">
        <v>46</v>
      </c>
      <c r="D220" s="126">
        <v>325901484.64999998</v>
      </c>
      <c r="E220" s="127">
        <f t="shared" si="103"/>
        <v>2.4764424396238573E-2</v>
      </c>
      <c r="F220" s="123">
        <v>24.315778999999999</v>
      </c>
      <c r="G220" s="123">
        <v>24.537541999999998</v>
      </c>
      <c r="H220" s="128">
        <v>167</v>
      </c>
      <c r="I220" s="82">
        <v>2.3724151912041701E-2</v>
      </c>
      <c r="J220" s="82">
        <v>5.4333302344178103E-2</v>
      </c>
      <c r="K220" s="126">
        <v>337799760.57999998</v>
      </c>
      <c r="L220" s="127">
        <f t="shared" si="104"/>
        <v>2.6210246296736284E-2</v>
      </c>
      <c r="M220" s="123">
        <v>25.203517999999999</v>
      </c>
      <c r="N220" s="123">
        <v>25.503943</v>
      </c>
      <c r="O220" s="128">
        <v>167</v>
      </c>
      <c r="P220" s="82">
        <v>3.6508811682088901E-2</v>
      </c>
      <c r="Q220" s="82">
        <v>9.2126360901174695E-2</v>
      </c>
      <c r="R220" s="87">
        <f t="shared" si="105"/>
        <v>3.6508811682088811E-2</v>
      </c>
      <c r="S220" s="87">
        <f t="shared" si="106"/>
        <v>3.9384588725309214E-2</v>
      </c>
      <c r="T220" s="87">
        <f t="shared" si="107"/>
        <v>0</v>
      </c>
      <c r="U220" s="87">
        <f t="shared" si="108"/>
        <v>1.27846597700472E-2</v>
      </c>
      <c r="V220" s="88">
        <f t="shared" si="109"/>
        <v>3.7793058556996592E-2</v>
      </c>
    </row>
    <row r="221" spans="1:22">
      <c r="A221" s="167">
        <v>4</v>
      </c>
      <c r="B221" s="160" t="s">
        <v>271</v>
      </c>
      <c r="C221" s="159" t="s">
        <v>46</v>
      </c>
      <c r="D221" s="126">
        <v>777366034.83000004</v>
      </c>
      <c r="E221" s="127">
        <f t="shared" si="103"/>
        <v>5.9070066582930181E-2</v>
      </c>
      <c r="F221" s="123">
        <v>58.332431999999997</v>
      </c>
      <c r="G221" s="123">
        <v>58.688580000000002</v>
      </c>
      <c r="H221" s="128">
        <v>99</v>
      </c>
      <c r="I221" s="82">
        <v>7.4823165609869697E-3</v>
      </c>
      <c r="J221" s="82">
        <v>0.57581349554959105</v>
      </c>
      <c r="K221" s="126">
        <v>780520384.88</v>
      </c>
      <c r="L221" s="127">
        <f t="shared" si="104"/>
        <v>6.0561415118242173E-2</v>
      </c>
      <c r="M221" s="123">
        <v>58.569128999999997</v>
      </c>
      <c r="N221" s="123">
        <v>59.011221999999997</v>
      </c>
      <c r="O221" s="128">
        <v>99</v>
      </c>
      <c r="P221" s="82">
        <v>4.0577410237505598E-3</v>
      </c>
      <c r="Q221" s="82">
        <v>0.58209997186511198</v>
      </c>
      <c r="R221" s="87">
        <f t="shared" si="105"/>
        <v>4.0577410237505017E-3</v>
      </c>
      <c r="S221" s="87">
        <f t="shared" si="106"/>
        <v>5.4975260945143798E-3</v>
      </c>
      <c r="T221" s="87">
        <f t="shared" si="107"/>
        <v>0</v>
      </c>
      <c r="U221" s="87">
        <f t="shared" si="108"/>
        <v>-3.4245755372364099E-3</v>
      </c>
      <c r="V221" s="88">
        <f t="shared" si="109"/>
        <v>6.286476315520928E-3</v>
      </c>
    </row>
    <row r="222" spans="1:22">
      <c r="A222" s="167">
        <v>5</v>
      </c>
      <c r="B222" s="160" t="s">
        <v>272</v>
      </c>
      <c r="C222" s="159" t="s">
        <v>273</v>
      </c>
      <c r="D222" s="126">
        <v>1411636163.73</v>
      </c>
      <c r="E222" s="127">
        <f t="shared" si="103"/>
        <v>0.10726663945465351</v>
      </c>
      <c r="F222" s="123">
        <v>39100</v>
      </c>
      <c r="G222" s="123">
        <v>45300</v>
      </c>
      <c r="H222" s="128">
        <v>226</v>
      </c>
      <c r="I222" s="82">
        <v>0.01</v>
      </c>
      <c r="J222" s="82">
        <v>1.42</v>
      </c>
      <c r="K222" s="126">
        <v>1410662694.3199999</v>
      </c>
      <c r="L222" s="127">
        <f t="shared" si="104"/>
        <v>0.1094548338230347</v>
      </c>
      <c r="M222" s="123">
        <v>39500</v>
      </c>
      <c r="N222" s="123">
        <v>45500</v>
      </c>
      <c r="O222" s="128">
        <v>226</v>
      </c>
      <c r="P222" s="82">
        <v>0.01</v>
      </c>
      <c r="Q222" s="82">
        <v>1.41</v>
      </c>
      <c r="R222" s="87">
        <f t="shared" si="105"/>
        <v>-6.8960362096977192E-4</v>
      </c>
      <c r="S222" s="87">
        <f t="shared" si="106"/>
        <v>4.4150110375275938E-3</v>
      </c>
      <c r="T222" s="87">
        <f t="shared" si="107"/>
        <v>0</v>
      </c>
      <c r="U222" s="87">
        <f t="shared" si="108"/>
        <v>0</v>
      </c>
      <c r="V222" s="88">
        <f t="shared" si="109"/>
        <v>-1.0000000000000009E-2</v>
      </c>
    </row>
    <row r="223" spans="1:22">
      <c r="A223" s="167">
        <v>6</v>
      </c>
      <c r="B223" s="160" t="s">
        <v>274</v>
      </c>
      <c r="C223" s="159" t="s">
        <v>275</v>
      </c>
      <c r="D223" s="126">
        <v>1104455550.5999999</v>
      </c>
      <c r="E223" s="127">
        <f t="shared" si="103"/>
        <v>8.3924766440427276E-2</v>
      </c>
      <c r="F223" s="123">
        <v>830</v>
      </c>
      <c r="G223" s="123">
        <v>830</v>
      </c>
      <c r="H223" s="128">
        <v>130</v>
      </c>
      <c r="I223" s="82">
        <v>1.5E-3</v>
      </c>
      <c r="J223" s="82">
        <v>0.25459999999999999</v>
      </c>
      <c r="K223" s="126">
        <v>1114272893.6400001</v>
      </c>
      <c r="L223" s="127">
        <f t="shared" si="104"/>
        <v>8.6457630798600957E-2</v>
      </c>
      <c r="M223" s="123">
        <v>864.87</v>
      </c>
      <c r="N223" s="123">
        <v>864.87</v>
      </c>
      <c r="O223" s="128">
        <v>130</v>
      </c>
      <c r="P223" s="82">
        <v>8.8999999999999999E-3</v>
      </c>
      <c r="Q223" s="82">
        <v>0.26550000000000001</v>
      </c>
      <c r="R223" s="87">
        <f t="shared" si="105"/>
        <v>8.8888530051452856E-3</v>
      </c>
      <c r="S223" s="87">
        <f t="shared" si="106"/>
        <v>4.2012048192771087E-2</v>
      </c>
      <c r="T223" s="87">
        <f t="shared" si="107"/>
        <v>0</v>
      </c>
      <c r="U223" s="87">
        <f t="shared" si="108"/>
        <v>7.4000000000000003E-3</v>
      </c>
      <c r="V223" s="88">
        <f t="shared" si="109"/>
        <v>1.0900000000000021E-2</v>
      </c>
    </row>
    <row r="224" spans="1:22">
      <c r="A224" s="167">
        <v>7</v>
      </c>
      <c r="B224" s="160" t="s">
        <v>276</v>
      </c>
      <c r="C224" s="159" t="s">
        <v>275</v>
      </c>
      <c r="D224" s="126">
        <v>810338640.03999996</v>
      </c>
      <c r="E224" s="127">
        <f t="shared" si="103"/>
        <v>6.15755709372506E-2</v>
      </c>
      <c r="F224" s="123">
        <v>450</v>
      </c>
      <c r="G224" s="123">
        <v>450</v>
      </c>
      <c r="H224" s="128">
        <v>591</v>
      </c>
      <c r="I224" s="82">
        <v>-9.2999999999999992E-3</v>
      </c>
      <c r="J224" s="82">
        <v>0.33400000000000002</v>
      </c>
      <c r="K224" s="126">
        <v>809079484.88</v>
      </c>
      <c r="L224" s="127">
        <f t="shared" si="104"/>
        <v>6.2777346366174033E-2</v>
      </c>
      <c r="M224" s="123">
        <v>410</v>
      </c>
      <c r="N224" s="123">
        <v>410</v>
      </c>
      <c r="O224" s="128">
        <v>591</v>
      </c>
      <c r="P224" s="82">
        <v>-1.5E-3</v>
      </c>
      <c r="Q224" s="82">
        <v>0.33200000000000002</v>
      </c>
      <c r="R224" s="87">
        <f t="shared" si="105"/>
        <v>-1.5538629133343711E-3</v>
      </c>
      <c r="S224" s="87">
        <f t="shared" si="106"/>
        <v>-8.8888888888888892E-2</v>
      </c>
      <c r="T224" s="87">
        <f t="shared" si="107"/>
        <v>0</v>
      </c>
      <c r="U224" s="87">
        <f t="shared" si="108"/>
        <v>7.7999999999999996E-3</v>
      </c>
      <c r="V224" s="88">
        <f t="shared" si="109"/>
        <v>-2.0000000000000018E-3</v>
      </c>
    </row>
    <row r="225" spans="1:22">
      <c r="A225" s="167">
        <v>8</v>
      </c>
      <c r="B225" s="160" t="s">
        <v>277</v>
      </c>
      <c r="C225" s="159" t="s">
        <v>278</v>
      </c>
      <c r="D225" s="126">
        <v>53122766.340000004</v>
      </c>
      <c r="E225" s="127">
        <f t="shared" si="103"/>
        <v>4.0366638162413091E-3</v>
      </c>
      <c r="F225" s="123">
        <v>15.51</v>
      </c>
      <c r="G225" s="123">
        <v>15.61</v>
      </c>
      <c r="H225" s="128">
        <v>61</v>
      </c>
      <c r="I225" s="82">
        <v>0</v>
      </c>
      <c r="J225" s="82">
        <v>0.43230000000000002</v>
      </c>
      <c r="K225" s="126">
        <v>53070051.549999997</v>
      </c>
      <c r="L225" s="127">
        <f t="shared" si="104"/>
        <v>4.117762309001312E-3</v>
      </c>
      <c r="M225" s="123">
        <v>15.51</v>
      </c>
      <c r="N225" s="123">
        <v>15.61</v>
      </c>
      <c r="O225" s="128">
        <v>61</v>
      </c>
      <c r="P225" s="82">
        <v>0</v>
      </c>
      <c r="Q225" s="82">
        <v>0.43230000000000002</v>
      </c>
      <c r="R225" s="87">
        <f t="shared" si="105"/>
        <v>-9.9232012246157721E-4</v>
      </c>
      <c r="S225" s="87">
        <f t="shared" si="106"/>
        <v>0</v>
      </c>
      <c r="T225" s="87">
        <f t="shared" si="107"/>
        <v>0</v>
      </c>
      <c r="U225" s="87">
        <f t="shared" si="108"/>
        <v>0</v>
      </c>
      <c r="V225" s="88">
        <f t="shared" si="109"/>
        <v>0</v>
      </c>
    </row>
    <row r="226" spans="1:22">
      <c r="A226" s="167">
        <v>9</v>
      </c>
      <c r="B226" s="160" t="s">
        <v>279</v>
      </c>
      <c r="C226" s="159" t="s">
        <v>278</v>
      </c>
      <c r="D226" s="129">
        <v>628277538.47000003</v>
      </c>
      <c r="E226" s="127">
        <f t="shared" si="103"/>
        <v>4.7741211176146103E-2</v>
      </c>
      <c r="F226" s="123">
        <v>9.9600000000000009</v>
      </c>
      <c r="G226" s="123">
        <v>10.06</v>
      </c>
      <c r="H226" s="128">
        <v>106</v>
      </c>
      <c r="I226" s="82">
        <v>0</v>
      </c>
      <c r="J226" s="82">
        <v>7.5899999999999995E-2</v>
      </c>
      <c r="K226" s="129">
        <v>660757091.90999997</v>
      </c>
      <c r="L226" s="127">
        <f t="shared" si="104"/>
        <v>5.1268852563839534E-2</v>
      </c>
      <c r="M226" s="123">
        <v>10.24</v>
      </c>
      <c r="N226" s="123">
        <v>10.34</v>
      </c>
      <c r="O226" s="128">
        <v>107</v>
      </c>
      <c r="P226" s="82">
        <v>0</v>
      </c>
      <c r="Q226" s="82">
        <v>7.5899999999999995E-2</v>
      </c>
      <c r="R226" s="87">
        <f t="shared" si="105"/>
        <v>5.1696187514669242E-2</v>
      </c>
      <c r="S226" s="87">
        <f t="shared" si="106"/>
        <v>2.7833001988071506E-2</v>
      </c>
      <c r="T226" s="87">
        <f t="shared" si="107"/>
        <v>9.433962264150943E-3</v>
      </c>
      <c r="U226" s="87">
        <f t="shared" si="108"/>
        <v>0</v>
      </c>
      <c r="V226" s="88">
        <f t="shared" si="109"/>
        <v>0</v>
      </c>
    </row>
    <row r="227" spans="1:22" ht="15" customHeight="1">
      <c r="A227" s="167">
        <v>10</v>
      </c>
      <c r="B227" s="160" t="s">
        <v>280</v>
      </c>
      <c r="C227" s="159" t="s">
        <v>278</v>
      </c>
      <c r="D227" s="126">
        <v>449646180.61000001</v>
      </c>
      <c r="E227" s="127">
        <f t="shared" si="103"/>
        <v>3.4167468910834803E-2</v>
      </c>
      <c r="F227" s="123">
        <v>126.73</v>
      </c>
      <c r="G227" s="123">
        <v>128.72999999999999</v>
      </c>
      <c r="H227" s="128">
        <v>269</v>
      </c>
      <c r="I227" s="82">
        <v>-0.3846</v>
      </c>
      <c r="J227" s="82">
        <v>0.35139999999999999</v>
      </c>
      <c r="K227" s="126">
        <v>451520636.81999999</v>
      </c>
      <c r="L227" s="127">
        <f t="shared" si="104"/>
        <v>3.5033971246136206E-2</v>
      </c>
      <c r="M227" s="123">
        <v>127.26</v>
      </c>
      <c r="N227" s="123">
        <v>129.26</v>
      </c>
      <c r="O227" s="128">
        <v>271</v>
      </c>
      <c r="P227" s="82">
        <v>-0.15</v>
      </c>
      <c r="Q227" s="82">
        <v>0.14860000000000001</v>
      </c>
      <c r="R227" s="87">
        <f t="shared" si="105"/>
        <v>4.1687359769342408E-3</v>
      </c>
      <c r="S227" s="87">
        <f t="shared" si="106"/>
        <v>4.1171444107822664E-3</v>
      </c>
      <c r="T227" s="87">
        <f t="shared" si="107"/>
        <v>7.4349442379182153E-3</v>
      </c>
      <c r="U227" s="87">
        <f t="shared" si="108"/>
        <v>0.2346</v>
      </c>
      <c r="V227" s="88">
        <f t="shared" si="109"/>
        <v>-0.20279999999999998</v>
      </c>
    </row>
    <row r="228" spans="1:22">
      <c r="A228" s="167">
        <v>11</v>
      </c>
      <c r="B228" s="160" t="s">
        <v>281</v>
      </c>
      <c r="C228" s="159" t="s">
        <v>278</v>
      </c>
      <c r="D228" s="126">
        <v>5599423417.6999998</v>
      </c>
      <c r="E228" s="127">
        <f t="shared" si="103"/>
        <v>0.42548593492625397</v>
      </c>
      <c r="F228" s="123">
        <v>36.99</v>
      </c>
      <c r="G228" s="123">
        <v>37.19</v>
      </c>
      <c r="H228" s="128">
        <v>283</v>
      </c>
      <c r="I228" s="82">
        <v>1.7999999999999999E-2</v>
      </c>
      <c r="J228" s="82">
        <v>0.35930000000000001</v>
      </c>
      <c r="K228" s="126">
        <v>5328723643.4399996</v>
      </c>
      <c r="L228" s="127">
        <f t="shared" si="104"/>
        <v>0.41346139174875884</v>
      </c>
      <c r="M228" s="123">
        <v>36.92</v>
      </c>
      <c r="N228" s="123">
        <v>37.119999999999997</v>
      </c>
      <c r="O228" s="128">
        <v>285</v>
      </c>
      <c r="P228" s="82">
        <v>8.2000000000000007E-3</v>
      </c>
      <c r="Q228" s="82">
        <v>0.37040000000000001</v>
      </c>
      <c r="R228" s="87">
        <f t="shared" si="105"/>
        <v>-4.8344222979156658E-2</v>
      </c>
      <c r="S228" s="87">
        <f t="shared" si="106"/>
        <v>-1.8822264049475743E-3</v>
      </c>
      <c r="T228" s="87">
        <f t="shared" si="107"/>
        <v>7.0671378091872791E-3</v>
      </c>
      <c r="U228" s="87">
        <f t="shared" si="108"/>
        <v>-9.7999999999999979E-3</v>
      </c>
      <c r="V228" s="88">
        <f t="shared" si="109"/>
        <v>1.1099999999999999E-2</v>
      </c>
    </row>
    <row r="229" spans="1:22">
      <c r="A229" s="167">
        <v>12</v>
      </c>
      <c r="B229" s="160" t="s">
        <v>282</v>
      </c>
      <c r="C229" s="159" t="s">
        <v>278</v>
      </c>
      <c r="D229" s="129">
        <v>62297723.710000001</v>
      </c>
      <c r="E229" s="127">
        <f t="shared" si="103"/>
        <v>4.7338454764356171E-3</v>
      </c>
      <c r="F229" s="123">
        <v>34.42</v>
      </c>
      <c r="G229" s="123">
        <v>34.619999999999997</v>
      </c>
      <c r="H229" s="128">
        <v>60</v>
      </c>
      <c r="I229" s="82">
        <v>-1.32E-2</v>
      </c>
      <c r="J229" s="82">
        <v>0.69810000000000005</v>
      </c>
      <c r="K229" s="129">
        <v>62248647.189999998</v>
      </c>
      <c r="L229" s="127">
        <f t="shared" si="104"/>
        <v>4.8299394045963088E-3</v>
      </c>
      <c r="M229" s="123">
        <v>34.409999999999997</v>
      </c>
      <c r="N229" s="123">
        <v>34.409999999999997</v>
      </c>
      <c r="O229" s="128">
        <v>60</v>
      </c>
      <c r="P229" s="82">
        <v>0</v>
      </c>
      <c r="Q229" s="82">
        <v>0.69810000000000005</v>
      </c>
      <c r="R229" s="87">
        <f t="shared" si="105"/>
        <v>-7.8777388766975993E-4</v>
      </c>
      <c r="S229" s="87">
        <f t="shared" si="106"/>
        <v>-6.0658578856152764E-3</v>
      </c>
      <c r="T229" s="87">
        <f t="shared" si="107"/>
        <v>0</v>
      </c>
      <c r="U229" s="87">
        <f t="shared" si="108"/>
        <v>1.32E-2</v>
      </c>
      <c r="V229" s="88">
        <f t="shared" si="109"/>
        <v>0</v>
      </c>
    </row>
    <row r="230" spans="1:22">
      <c r="A230" s="130"/>
      <c r="B230" s="130"/>
      <c r="C230" s="131" t="s">
        <v>283</v>
      </c>
      <c r="D230" s="122">
        <f>SUM(D218:D229)</f>
        <v>13160067015.30687</v>
      </c>
      <c r="E230" s="124"/>
      <c r="F230" s="124"/>
      <c r="G230" s="125"/>
      <c r="H230" s="122">
        <f>SUM(H218:H229)</f>
        <v>2265</v>
      </c>
      <c r="I230" s="147"/>
      <c r="J230" s="147"/>
      <c r="K230" s="122">
        <f>SUM(K218:K229)</f>
        <v>12888080361.994272</v>
      </c>
      <c r="L230" s="124"/>
      <c r="M230" s="124"/>
      <c r="N230" s="125"/>
      <c r="O230" s="122">
        <f>SUM(O218:O229)</f>
        <v>2270</v>
      </c>
      <c r="P230" s="147"/>
      <c r="Q230" s="147"/>
      <c r="R230" s="87">
        <f t="shared" si="105"/>
        <v>-2.0667573576657432E-2</v>
      </c>
      <c r="S230" s="87" t="e">
        <f t="shared" si="106"/>
        <v>#DIV/0!</v>
      </c>
      <c r="T230" s="87">
        <f t="shared" si="107"/>
        <v>2.2075055187637969E-3</v>
      </c>
      <c r="U230" s="87">
        <f t="shared" si="108"/>
        <v>0</v>
      </c>
      <c r="V230" s="88">
        <f t="shared" si="109"/>
        <v>0</v>
      </c>
    </row>
    <row r="231" spans="1:22">
      <c r="A231" s="132"/>
      <c r="B231" s="132"/>
      <c r="C231" s="133" t="s">
        <v>284</v>
      </c>
      <c r="D231" s="134">
        <f>SUM(D206,D210,D215,D230)</f>
        <v>3890478400849.4795</v>
      </c>
      <c r="E231" s="135"/>
      <c r="F231" s="135"/>
      <c r="G231" s="136"/>
      <c r="H231" s="134">
        <f>SUM(H206,H210,H215,H230)</f>
        <v>790639</v>
      </c>
      <c r="I231" s="148"/>
      <c r="J231" s="148"/>
      <c r="K231" s="134">
        <f>SUM(K206,K210,K215,K230)</f>
        <v>3915686560564.9834</v>
      </c>
      <c r="L231" s="135"/>
      <c r="M231" s="135"/>
      <c r="N231" s="134"/>
      <c r="O231" s="134">
        <f>SUM(O206,O210,O215,O230)</f>
        <v>793036</v>
      </c>
      <c r="P231" s="149"/>
      <c r="Q231" s="134"/>
      <c r="R231" s="155"/>
      <c r="S231" s="156"/>
      <c r="T231" s="156"/>
      <c r="U231" s="157"/>
      <c r="V231" s="157"/>
    </row>
    <row r="232" spans="1:22">
      <c r="A232" s="137" t="s">
        <v>285</v>
      </c>
      <c r="B232" s="168" t="s">
        <v>299</v>
      </c>
      <c r="C232" s="138"/>
      <c r="D232" s="138"/>
      <c r="E232" s="138"/>
      <c r="F232" s="138"/>
      <c r="G232" s="138"/>
      <c r="H232" s="138"/>
      <c r="I232" s="138"/>
      <c r="J232" s="138"/>
      <c r="K232" s="138"/>
      <c r="L232" s="138"/>
      <c r="M232" s="138"/>
      <c r="N232" s="138"/>
      <c r="O232" s="138"/>
      <c r="P232" s="138"/>
      <c r="Q232" s="138"/>
      <c r="R232" s="138"/>
      <c r="S232" s="138"/>
      <c r="T232" s="138"/>
      <c r="U232" s="138"/>
      <c r="V232" s="138"/>
    </row>
    <row r="234" spans="1:22">
      <c r="B234" s="139"/>
      <c r="C234" s="139"/>
      <c r="D234" s="140"/>
      <c r="K234" s="140"/>
    </row>
    <row r="235" spans="1:22" ht="15">
      <c r="B235" s="141"/>
      <c r="C235" s="142"/>
      <c r="D235" s="143"/>
      <c r="F235" s="144"/>
      <c r="G235" s="144"/>
      <c r="I235" s="150"/>
      <c r="J235" s="151"/>
    </row>
    <row r="238" spans="1:22">
      <c r="B238" s="139"/>
    </row>
  </sheetData>
  <sheetProtection algorithmName="SHA-512" hashValue="BAk/ci3RepQzHeU48BT+vq66g3Nm/WB+NocltGz/CU+BTmpW/SZ7JhsGY7po3kNdvfgdJhK/ok1zH2B572ZL3Q==" saltValue="CrMzYAs68TTZygzYZlUn9w==" spinCount="100000" sheet="1" objects="1" scenarios="1"/>
  <mergeCells count="34">
    <mergeCell ref="A1:V1"/>
    <mergeCell ref="D2:J2"/>
    <mergeCell ref="K2:Q2"/>
    <mergeCell ref="R2:T2"/>
    <mergeCell ref="U2:V2"/>
    <mergeCell ref="B4:V4"/>
    <mergeCell ref="A5:V5"/>
    <mergeCell ref="B25:V25"/>
    <mergeCell ref="A26:V26"/>
    <mergeCell ref="B64:V64"/>
    <mergeCell ref="A65:V65"/>
    <mergeCell ref="B103:V103"/>
    <mergeCell ref="A104:V104"/>
    <mergeCell ref="A105:V105"/>
    <mergeCell ref="B121:V121"/>
    <mergeCell ref="A122:V122"/>
    <mergeCell ref="B137:V137"/>
    <mergeCell ref="A138:V138"/>
    <mergeCell ref="B145:V145"/>
    <mergeCell ref="A146:V146"/>
    <mergeCell ref="B177:V177"/>
    <mergeCell ref="A178:V178"/>
    <mergeCell ref="B183:V183"/>
    <mergeCell ref="A184:V184"/>
    <mergeCell ref="A185:V185"/>
    <mergeCell ref="A208:V208"/>
    <mergeCell ref="A212:V212"/>
    <mergeCell ref="B216:V216"/>
    <mergeCell ref="A217:V217"/>
    <mergeCell ref="B188:V188"/>
    <mergeCell ref="A189:V189"/>
    <mergeCell ref="B202:V202"/>
    <mergeCell ref="A203:V203"/>
    <mergeCell ref="B207:U207"/>
  </mergeCells>
  <pageMargins left="0.7" right="0.7" top="0.75" bottom="0.75" header="0.3" footer="0.3"/>
  <pageSetup paperSize="9" orientation="portrait" horizontalDpi="300" verticalDpi="300" r:id="rId1"/>
  <ignoredErrors>
    <ignoredError sqref="L88 E88 E70 L45 E45" formula="1"/>
    <ignoredError sqref="S144 S24 T36 S63 S102 S136 T154 S176 S182 S205 S230 T213:T214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92D050"/>
  </sheetPr>
  <dimension ref="A1:E29"/>
  <sheetViews>
    <sheetView workbookViewId="0">
      <selection activeCell="G2" sqref="G2"/>
    </sheetView>
  </sheetViews>
  <sheetFormatPr defaultColWidth="9" defaultRowHeight="14.4"/>
  <cols>
    <col min="1" max="1" width="34" customWidth="1"/>
    <col min="2" max="2" width="17.6640625" customWidth="1"/>
    <col min="3" max="3" width="17.44140625" customWidth="1"/>
  </cols>
  <sheetData>
    <row r="1" spans="1:5">
      <c r="A1" s="184"/>
      <c r="B1" s="184"/>
      <c r="C1" s="184"/>
      <c r="D1" s="184"/>
      <c r="E1" s="15"/>
    </row>
    <row r="2" spans="1:5" ht="27.6">
      <c r="A2" s="33" t="s">
        <v>286</v>
      </c>
      <c r="B2" s="34" t="s">
        <v>287</v>
      </c>
      <c r="C2" s="34" t="s">
        <v>301</v>
      </c>
      <c r="D2" s="35"/>
      <c r="E2" s="15"/>
    </row>
    <row r="3" spans="1:5">
      <c r="A3" s="36" t="s">
        <v>20</v>
      </c>
      <c r="B3" s="37">
        <f t="shared" ref="B3:C10" si="0">B13</f>
        <v>29.662249858959999</v>
      </c>
      <c r="C3" s="37">
        <f t="shared" si="0"/>
        <v>29.877584741979998</v>
      </c>
      <c r="D3" s="35"/>
      <c r="E3" s="15"/>
    </row>
    <row r="4" spans="1:5" ht="17.25" customHeight="1">
      <c r="A4" s="33" t="s">
        <v>57</v>
      </c>
      <c r="B4" s="38">
        <f t="shared" si="0"/>
        <v>1514.8873274094046</v>
      </c>
      <c r="C4" s="38">
        <f t="shared" si="0"/>
        <v>1524.3339450940389</v>
      </c>
      <c r="D4" s="35"/>
      <c r="E4" s="15"/>
    </row>
    <row r="5" spans="1:5" ht="19.5" customHeight="1">
      <c r="A5" s="33" t="s">
        <v>288</v>
      </c>
      <c r="B5" s="37">
        <f t="shared" si="0"/>
        <v>216.99670159178049</v>
      </c>
      <c r="C5" s="37">
        <f t="shared" si="0"/>
        <v>212.54965230717568</v>
      </c>
      <c r="D5" s="35"/>
      <c r="E5" s="15"/>
    </row>
    <row r="6" spans="1:5">
      <c r="A6" s="33" t="s">
        <v>161</v>
      </c>
      <c r="B6" s="38">
        <f t="shared" si="0"/>
        <v>1786.6225365801627</v>
      </c>
      <c r="C6" s="38">
        <f t="shared" si="0"/>
        <v>1806.0750965561135</v>
      </c>
      <c r="D6" s="35"/>
      <c r="E6" s="15"/>
    </row>
    <row r="7" spans="1:5">
      <c r="A7" s="33" t="s">
        <v>289</v>
      </c>
      <c r="B7" s="37">
        <f t="shared" si="0"/>
        <v>98.953116968937437</v>
      </c>
      <c r="C7" s="37">
        <f t="shared" si="0"/>
        <v>99.081658987424433</v>
      </c>
      <c r="D7" s="35"/>
      <c r="E7" s="15"/>
    </row>
    <row r="8" spans="1:5">
      <c r="A8" s="33" t="s">
        <v>200</v>
      </c>
      <c r="B8" s="39">
        <f t="shared" si="0"/>
        <v>52.773311659495143</v>
      </c>
      <c r="C8" s="39">
        <f t="shared" si="0"/>
        <v>52.945664168085024</v>
      </c>
      <c r="D8" s="35"/>
      <c r="E8" s="15"/>
    </row>
    <row r="9" spans="1:5">
      <c r="A9" s="33" t="s">
        <v>232</v>
      </c>
      <c r="B9" s="37">
        <f t="shared" si="0"/>
        <v>5.5148300556700001</v>
      </c>
      <c r="C9" s="37">
        <f t="shared" si="0"/>
        <v>5.5579649241800002</v>
      </c>
      <c r="D9" s="35"/>
      <c r="E9" s="15"/>
    </row>
    <row r="10" spans="1:5">
      <c r="A10" s="33" t="s">
        <v>290</v>
      </c>
      <c r="B10" s="37">
        <f t="shared" si="0"/>
        <v>50.663887289265588</v>
      </c>
      <c r="C10" s="37">
        <f t="shared" si="0"/>
        <v>51.182391263795019</v>
      </c>
      <c r="D10" s="35"/>
      <c r="E10" s="15"/>
    </row>
    <row r="11" spans="1:5">
      <c r="A11" s="33"/>
      <c r="B11" s="37"/>
      <c r="C11" s="37"/>
      <c r="D11" s="35"/>
      <c r="E11" s="15"/>
    </row>
    <row r="12" spans="1:5">
      <c r="A12" s="184"/>
      <c r="B12" s="184"/>
      <c r="C12" s="184"/>
      <c r="D12" s="184"/>
      <c r="E12" s="15"/>
    </row>
    <row r="13" spans="1:5">
      <c r="A13" s="40" t="s">
        <v>20</v>
      </c>
      <c r="B13" s="41">
        <f>'Weekly Valuation'!D24/1000000000</f>
        <v>29.662249858959999</v>
      </c>
      <c r="C13" s="42">
        <f>'Weekly Valuation'!K24/1000000000</f>
        <v>29.877584741979998</v>
      </c>
      <c r="D13" s="184"/>
      <c r="E13" s="15"/>
    </row>
    <row r="14" spans="1:5">
      <c r="A14" s="43" t="s">
        <v>57</v>
      </c>
      <c r="B14" s="41">
        <f>'Weekly Valuation'!D63/1000000000</f>
        <v>1514.8873274094046</v>
      </c>
      <c r="C14" s="44">
        <f>'Weekly Valuation'!K63/1000000000</f>
        <v>1524.3339450940389</v>
      </c>
      <c r="D14" s="184"/>
      <c r="E14" s="15"/>
    </row>
    <row r="15" spans="1:5">
      <c r="A15" s="43" t="s">
        <v>288</v>
      </c>
      <c r="B15" s="41">
        <f>'Weekly Valuation'!D102/1000000000</f>
        <v>216.99670159178049</v>
      </c>
      <c r="C15" s="42">
        <f>'Weekly Valuation'!K102/1000000000</f>
        <v>212.54965230717568</v>
      </c>
      <c r="D15" s="184"/>
      <c r="E15" s="15"/>
    </row>
    <row r="16" spans="1:5">
      <c r="A16" s="43" t="s">
        <v>161</v>
      </c>
      <c r="B16" s="41">
        <f>'Weekly Valuation'!D136/1000000000</f>
        <v>1786.6225365801627</v>
      </c>
      <c r="C16" s="44">
        <f>'Weekly Valuation'!K136/1000000000</f>
        <v>1806.0750965561135</v>
      </c>
      <c r="D16" s="184"/>
      <c r="E16" s="15"/>
    </row>
    <row r="17" spans="1:5">
      <c r="A17" s="43" t="s">
        <v>289</v>
      </c>
      <c r="B17" s="41">
        <f>'Weekly Valuation'!D144/1000000000</f>
        <v>98.953116968937437</v>
      </c>
      <c r="C17" s="42">
        <f>'Weekly Valuation'!K144/1000000000</f>
        <v>99.081658987424433</v>
      </c>
      <c r="D17" s="184"/>
      <c r="E17" s="15"/>
    </row>
    <row r="18" spans="1:5">
      <c r="A18" s="43" t="s">
        <v>200</v>
      </c>
      <c r="B18" s="41">
        <f>'Weekly Valuation'!D176/1000000000</f>
        <v>52.773311659495143</v>
      </c>
      <c r="C18" s="45">
        <f>'Weekly Valuation'!K176/1000000000</f>
        <v>52.945664168085024</v>
      </c>
      <c r="D18" s="184"/>
      <c r="E18" s="15"/>
    </row>
    <row r="19" spans="1:5">
      <c r="A19" s="43" t="s">
        <v>232</v>
      </c>
      <c r="B19" s="41">
        <f>'Weekly Valuation'!D182/1000000000</f>
        <v>5.5148300556700001</v>
      </c>
      <c r="C19" s="42">
        <f>'Weekly Valuation'!K182/1000000000</f>
        <v>5.5579649241800002</v>
      </c>
      <c r="D19" s="184"/>
      <c r="E19" s="15"/>
    </row>
    <row r="20" spans="1:5">
      <c r="A20" s="43" t="s">
        <v>290</v>
      </c>
      <c r="B20" s="41">
        <f>'Weekly Valuation'!D205/1000000000</f>
        <v>50.663887289265588</v>
      </c>
      <c r="C20" s="42">
        <f>'Weekly Valuation'!K205/1000000000</f>
        <v>51.182391263795019</v>
      </c>
      <c r="D20" s="184"/>
      <c r="E20" s="15"/>
    </row>
    <row r="21" spans="1:5">
      <c r="A21" s="28"/>
      <c r="B21" s="184"/>
      <c r="C21" s="31"/>
      <c r="D21" s="184"/>
      <c r="E21" s="15"/>
    </row>
    <row r="22" spans="1:5">
      <c r="A22" s="28"/>
      <c r="B22" s="184"/>
      <c r="C22" s="29"/>
      <c r="D22" s="184"/>
      <c r="E22" s="15"/>
    </row>
    <row r="23" spans="1:5">
      <c r="A23" s="46"/>
      <c r="B23" s="47"/>
      <c r="C23" s="30"/>
      <c r="D23" s="19"/>
      <c r="E23" s="15"/>
    </row>
    <row r="24" spans="1:5">
      <c r="A24" s="46"/>
      <c r="B24" s="47"/>
      <c r="C24" s="47"/>
      <c r="D24" s="19"/>
      <c r="E24" s="15"/>
    </row>
    <row r="25" spans="1:5">
      <c r="A25" s="46"/>
      <c r="B25" s="47"/>
      <c r="C25" s="47"/>
      <c r="D25" s="19"/>
      <c r="E25" s="15"/>
    </row>
    <row r="26" spans="1:5">
      <c r="A26" s="48"/>
      <c r="B26" s="49"/>
      <c r="C26" s="49"/>
      <c r="D26" s="15"/>
      <c r="E26" s="15"/>
    </row>
    <row r="27" spans="1:5">
      <c r="A27" s="48"/>
      <c r="B27" s="49"/>
      <c r="C27" s="49"/>
      <c r="D27" s="15"/>
      <c r="E27" s="15"/>
    </row>
    <row r="28" spans="1:5">
      <c r="A28" s="15"/>
      <c r="B28" s="15"/>
      <c r="C28" s="15"/>
      <c r="D28" s="15"/>
    </row>
    <row r="29" spans="1:5">
      <c r="A29" s="15"/>
      <c r="B29" s="15"/>
      <c r="C29" s="15"/>
      <c r="D29" s="15"/>
    </row>
  </sheetData>
  <sheetProtection algorithmName="SHA-512" hashValue="zaEox+Gir4AOurxu6GcUTR9qRuR0CJVcM+F2ZI4VzoKp/c4MFgQop+sRl6d2zEWKnyztHimQhSGXoK8nZMGksg==" saltValue="J1ECBgsLZA8ZdUKuAaWA9w==" spinCount="100000" sheet="1" objects="1" scenarios="1"/>
  <pageMargins left="0.7" right="0.7" top="0.75" bottom="0.75" header="0.3" footer="0.3"/>
  <pageSetup paperSize="9" orientation="portrait" horizontalDpi="300" verticalDpi="30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00B0F0"/>
  </sheetPr>
  <dimension ref="A1:Q33"/>
  <sheetViews>
    <sheetView zoomScale="85" zoomScaleNormal="85" workbookViewId="0">
      <selection activeCell="F15" sqref="F15"/>
    </sheetView>
  </sheetViews>
  <sheetFormatPr defaultColWidth="9" defaultRowHeight="14.4"/>
  <cols>
    <col min="1" max="1" width="26.6640625" customWidth="1"/>
    <col min="2" max="2" width="17.44140625" customWidth="1"/>
    <col min="16" max="16" width="7.5546875" customWidth="1"/>
  </cols>
  <sheetData>
    <row r="1" spans="1:6" ht="15.6">
      <c r="A1" s="26" t="s">
        <v>286</v>
      </c>
      <c r="B1" s="27">
        <v>45604</v>
      </c>
      <c r="C1" s="19"/>
      <c r="D1" s="15"/>
      <c r="E1" s="15"/>
    </row>
    <row r="2" spans="1:6">
      <c r="A2" s="28" t="s">
        <v>232</v>
      </c>
      <c r="B2" s="29">
        <f>'Weekly Valuation'!K182</f>
        <v>5557964924.1800003</v>
      </c>
      <c r="C2" s="19"/>
      <c r="D2" s="15"/>
      <c r="E2" s="15"/>
    </row>
    <row r="3" spans="1:6">
      <c r="A3" s="28" t="s">
        <v>20</v>
      </c>
      <c r="B3" s="29">
        <f>'Weekly Valuation'!K24</f>
        <v>29877584741.98</v>
      </c>
      <c r="C3" s="19"/>
      <c r="D3" s="15"/>
      <c r="E3" s="15"/>
    </row>
    <row r="4" spans="1:6">
      <c r="A4" s="28" t="s">
        <v>290</v>
      </c>
      <c r="B4" s="30">
        <f>'Weekly Valuation'!K205</f>
        <v>51182391263.795021</v>
      </c>
      <c r="C4" s="19"/>
      <c r="D4" s="15"/>
      <c r="E4" s="15"/>
    </row>
    <row r="5" spans="1:6">
      <c r="A5" s="28" t="s">
        <v>200</v>
      </c>
      <c r="B5" s="29">
        <f>'Weekly Valuation'!K176</f>
        <v>52945664168.085022</v>
      </c>
      <c r="C5" s="19"/>
      <c r="D5" s="15"/>
      <c r="E5" s="15"/>
    </row>
    <row r="6" spans="1:6">
      <c r="A6" s="28" t="s">
        <v>289</v>
      </c>
      <c r="B6" s="29">
        <f>'Weekly Valuation'!K144</f>
        <v>99081658987.424438</v>
      </c>
      <c r="C6" s="19"/>
      <c r="D6" s="15"/>
      <c r="E6" s="15"/>
    </row>
    <row r="7" spans="1:6">
      <c r="A7" s="28" t="s">
        <v>288</v>
      </c>
      <c r="B7" s="29">
        <f>'Weekly Valuation'!K102</f>
        <v>212549652307.17569</v>
      </c>
      <c r="C7" s="19"/>
      <c r="D7" s="15"/>
      <c r="E7" s="15"/>
    </row>
    <row r="8" spans="1:6">
      <c r="A8" s="28" t="s">
        <v>57</v>
      </c>
      <c r="B8" s="31">
        <f>'Weekly Valuation'!K63</f>
        <v>1524333945094.0388</v>
      </c>
      <c r="C8" s="19"/>
      <c r="D8" s="15"/>
      <c r="E8" s="15"/>
    </row>
    <row r="9" spans="1:6">
      <c r="A9" s="28" t="s">
        <v>161</v>
      </c>
      <c r="B9" s="31">
        <f>'Weekly Valuation'!K136</f>
        <v>1806075096556.1135</v>
      </c>
      <c r="C9" s="19"/>
      <c r="D9" s="15"/>
      <c r="E9" s="15"/>
      <c r="F9" t="s">
        <v>291</v>
      </c>
    </row>
    <row r="10" spans="1:6">
      <c r="A10" s="184"/>
      <c r="B10" s="184"/>
      <c r="C10" s="19"/>
      <c r="D10" s="15"/>
      <c r="E10" s="15"/>
    </row>
    <row r="11" spans="1:6">
      <c r="A11" s="28"/>
      <c r="B11" s="186"/>
      <c r="C11" s="19"/>
      <c r="D11" s="15"/>
      <c r="E11" s="15"/>
    </row>
    <row r="12" spans="1:6">
      <c r="A12" s="28"/>
      <c r="B12" s="19"/>
      <c r="C12" s="19"/>
      <c r="D12" s="15"/>
      <c r="E12" s="15"/>
    </row>
    <row r="13" spans="1:6">
      <c r="A13" s="47"/>
      <c r="B13" s="47"/>
      <c r="C13" s="19"/>
      <c r="D13" s="15"/>
      <c r="E13" s="15"/>
    </row>
    <row r="14" spans="1:6">
      <c r="A14" s="49"/>
      <c r="B14" s="49"/>
      <c r="C14" s="15"/>
      <c r="D14" s="15"/>
      <c r="E14" s="15"/>
    </row>
    <row r="15" spans="1:6" ht="16.5" customHeight="1">
      <c r="A15" s="183"/>
      <c r="B15" s="183"/>
      <c r="C15" s="15"/>
      <c r="D15" s="15"/>
      <c r="E15" s="15"/>
    </row>
    <row r="16" spans="1:6">
      <c r="A16" s="49"/>
      <c r="B16" s="49"/>
      <c r="C16" s="15"/>
      <c r="D16" s="15"/>
      <c r="E16" s="15"/>
    </row>
    <row r="17" spans="1:17">
      <c r="A17" s="49"/>
      <c r="B17" s="49"/>
      <c r="C17" s="15"/>
      <c r="D17" s="15"/>
      <c r="E17" s="15"/>
    </row>
    <row r="18" spans="1:17">
      <c r="A18" s="185"/>
      <c r="B18" s="49"/>
      <c r="C18" s="15"/>
      <c r="D18" s="15"/>
      <c r="E18" s="15"/>
    </row>
    <row r="19" spans="1:17">
      <c r="A19" s="185"/>
      <c r="B19" s="185"/>
      <c r="C19" s="15"/>
      <c r="D19" s="15"/>
      <c r="E19" s="15"/>
    </row>
    <row r="20" spans="1:17">
      <c r="A20" s="185"/>
      <c r="B20" s="185"/>
      <c r="C20" s="15"/>
      <c r="D20" s="15"/>
      <c r="E20" s="15"/>
    </row>
    <row r="21" spans="1:17">
      <c r="A21" s="48"/>
      <c r="B21" s="185"/>
      <c r="C21" s="15"/>
      <c r="D21" s="15"/>
      <c r="E21" s="15"/>
    </row>
    <row r="22" spans="1:17">
      <c r="A22" s="15"/>
      <c r="B22" s="185"/>
      <c r="C22" s="15"/>
      <c r="D22" s="15"/>
      <c r="E22" s="15"/>
    </row>
    <row r="23" spans="1:17">
      <c r="A23" s="15"/>
      <c r="B23" s="15"/>
      <c r="C23" s="15"/>
      <c r="D23" s="15"/>
      <c r="E23" s="15"/>
    </row>
    <row r="24" spans="1:17">
      <c r="A24" s="15"/>
      <c r="B24" s="15"/>
      <c r="C24" s="15"/>
      <c r="D24" s="15"/>
      <c r="E24" s="15"/>
    </row>
    <row r="25" spans="1:17">
      <c r="A25" s="15"/>
      <c r="B25" s="15"/>
      <c r="C25" s="15"/>
      <c r="D25" s="15"/>
      <c r="E25" s="15"/>
    </row>
    <row r="26" spans="1:17">
      <c r="A26" s="15"/>
      <c r="B26" s="15"/>
    </row>
    <row r="32" spans="1:17" ht="16.5" customHeight="1">
      <c r="A32" s="181" t="s">
        <v>302</v>
      </c>
      <c r="B32" s="182"/>
      <c r="C32" s="182"/>
      <c r="D32" s="182"/>
      <c r="E32" s="182"/>
      <c r="F32" s="182"/>
      <c r="G32" s="182"/>
      <c r="H32" s="182"/>
      <c r="I32" s="182"/>
      <c r="J32" s="182"/>
      <c r="K32" s="182"/>
      <c r="L32" s="182"/>
      <c r="M32" s="182"/>
      <c r="N32" s="182"/>
      <c r="O32" s="182"/>
      <c r="P32" s="182"/>
      <c r="Q32" s="32"/>
    </row>
    <row r="33" spans="1:17" ht="15" customHeight="1">
      <c r="A33" s="182"/>
      <c r="B33" s="182"/>
      <c r="C33" s="182"/>
      <c r="D33" s="182"/>
      <c r="E33" s="182"/>
      <c r="F33" s="182"/>
      <c r="G33" s="182"/>
      <c r="H33" s="182"/>
      <c r="I33" s="182"/>
      <c r="J33" s="182"/>
      <c r="K33" s="182"/>
      <c r="L33" s="182"/>
      <c r="M33" s="182"/>
      <c r="N33" s="182"/>
      <c r="O33" s="182"/>
      <c r="P33" s="182"/>
      <c r="Q33" s="32"/>
    </row>
  </sheetData>
  <sheetProtection algorithmName="SHA-512" hashValue="Se5IRMPh8rdZkfcSYn9SfjEyXhq+IWP9NQ2XrrQeN8iVqYsp5xCdM+O/GAKphjO4YMUeix4gdjFXFz35GnO2ZA==" saltValue="CiiIon0imGhQ4MkUUDUapw==" spinCount="100000" sheet="1" objects="1" scenarios="1" selectLockedCells="1" selectUnlockedCells="1"/>
  <sortState ref="A2:B9">
    <sortCondition ref="B2:B9"/>
  </sortState>
  <mergeCells count="1">
    <mergeCell ref="A32:P33"/>
  </mergeCells>
  <pageMargins left="0.7" right="0.7" top="0.75" bottom="0.75" header="0.3" footer="0.3"/>
  <pageSetup paperSize="9" orientation="portrait" horizontalDpi="300" verticalDpi="30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7030A0"/>
  </sheetPr>
  <dimension ref="A1:M8"/>
  <sheetViews>
    <sheetView zoomScale="110" zoomScaleNormal="110" workbookViewId="0">
      <selection activeCell="E7" sqref="E7"/>
    </sheetView>
  </sheetViews>
  <sheetFormatPr defaultColWidth="9" defaultRowHeight="14.4"/>
  <cols>
    <col min="1" max="2" width="10.5546875" customWidth="1"/>
    <col min="3" max="3" width="11.109375" customWidth="1"/>
    <col min="4" max="4" width="10.5546875" customWidth="1"/>
    <col min="5" max="5" width="10.88671875" customWidth="1"/>
    <col min="6" max="6" width="11.109375" customWidth="1"/>
    <col min="7" max="7" width="12.109375" customWidth="1"/>
    <col min="8" max="8" width="11.6640625" customWidth="1"/>
    <col min="9" max="9" width="11.44140625" customWidth="1"/>
  </cols>
  <sheetData>
    <row r="1" spans="1:13">
      <c r="A1" s="19"/>
      <c r="B1" s="19"/>
      <c r="C1" s="19"/>
      <c r="D1" s="19"/>
      <c r="E1" s="19"/>
      <c r="F1" s="19"/>
      <c r="G1" s="19"/>
      <c r="H1" s="19"/>
      <c r="I1" s="19"/>
      <c r="J1" s="15"/>
      <c r="K1" s="24"/>
      <c r="L1" s="15"/>
      <c r="M1" s="15"/>
    </row>
    <row r="2" spans="1:13">
      <c r="A2" s="20" t="s">
        <v>292</v>
      </c>
      <c r="B2" s="21">
        <v>45555</v>
      </c>
      <c r="C2" s="21">
        <v>45562</v>
      </c>
      <c r="D2" s="21">
        <v>45569</v>
      </c>
      <c r="E2" s="21">
        <v>45576</v>
      </c>
      <c r="F2" s="21">
        <v>45583</v>
      </c>
      <c r="G2" s="21">
        <v>45590</v>
      </c>
      <c r="H2" s="21">
        <v>45597</v>
      </c>
      <c r="I2" s="21">
        <v>45604</v>
      </c>
      <c r="J2" s="15"/>
      <c r="K2" s="24"/>
      <c r="L2" s="15"/>
      <c r="M2" s="15"/>
    </row>
    <row r="3" spans="1:13">
      <c r="A3" s="20" t="s">
        <v>293</v>
      </c>
      <c r="B3" s="22">
        <f t="shared" ref="B3:I3" si="0">B4</f>
        <v>3459.9856712522856</v>
      </c>
      <c r="C3" s="22">
        <f t="shared" si="0"/>
        <v>3518.3374037557901</v>
      </c>
      <c r="D3" s="22">
        <f t="shared" si="0"/>
        <v>3587.8911717657538</v>
      </c>
      <c r="E3" s="22">
        <f t="shared" si="0"/>
        <v>3608.6485199322269</v>
      </c>
      <c r="F3" s="22">
        <f t="shared" si="0"/>
        <v>3649.8560176552623</v>
      </c>
      <c r="G3" s="22">
        <f t="shared" si="0"/>
        <v>3681.0930784539851</v>
      </c>
      <c r="H3" s="22">
        <f t="shared" si="0"/>
        <v>3756.0739614136678</v>
      </c>
      <c r="I3" s="22">
        <f t="shared" si="0"/>
        <v>3781.6039580427923</v>
      </c>
      <c r="J3" s="15"/>
      <c r="K3" s="24"/>
      <c r="L3" s="15"/>
      <c r="M3" s="15"/>
    </row>
    <row r="4" spans="1:13">
      <c r="A4" s="19"/>
      <c r="B4" s="23">
        <f>'NAV Trend'!C10/1000000000</f>
        <v>3459.9856712522856</v>
      </c>
      <c r="C4" s="23">
        <f>'NAV Trend'!D10/1000000000</f>
        <v>3518.3374037557901</v>
      </c>
      <c r="D4" s="23">
        <f>'NAV Trend'!E10/1000000000</f>
        <v>3587.8911717657538</v>
      </c>
      <c r="E4" s="23">
        <f>'NAV Trend'!F10/1000000000</f>
        <v>3608.6485199322269</v>
      </c>
      <c r="F4" s="23">
        <f>'NAV Trend'!G10/1000000000</f>
        <v>3649.8560176552623</v>
      </c>
      <c r="G4" s="23">
        <f>'NAV Trend'!H10/1000000000</f>
        <v>3681.0930784539851</v>
      </c>
      <c r="H4" s="25">
        <f>'NAV Trend'!I10/1000000000</f>
        <v>3756.0739614136678</v>
      </c>
      <c r="I4" s="25">
        <f>'NAV Trend'!J10/1000000000</f>
        <v>3781.6039580427923</v>
      </c>
      <c r="J4" s="15"/>
      <c r="K4" s="24"/>
      <c r="L4" s="15"/>
      <c r="M4" s="15"/>
    </row>
    <row r="5" spans="1:13">
      <c r="A5" s="19"/>
      <c r="B5" s="19"/>
      <c r="C5" s="19"/>
      <c r="D5" s="19"/>
      <c r="E5" s="19"/>
      <c r="F5" s="19"/>
      <c r="G5" s="19"/>
      <c r="H5" s="19"/>
      <c r="I5" s="19"/>
      <c r="J5" s="15"/>
      <c r="K5" s="24"/>
      <c r="L5" s="15"/>
      <c r="M5" s="15"/>
    </row>
    <row r="6" spans="1:13">
      <c r="A6" s="15"/>
      <c r="B6" s="15"/>
      <c r="C6" s="15"/>
      <c r="D6" s="15"/>
      <c r="E6" s="15"/>
      <c r="F6" s="15"/>
      <c r="G6" s="15"/>
      <c r="H6" s="15"/>
      <c r="I6" s="15"/>
      <c r="J6" s="15"/>
      <c r="K6" s="24"/>
      <c r="L6" s="15"/>
    </row>
    <row r="7" spans="1:13">
      <c r="A7" s="15"/>
      <c r="B7" s="15"/>
      <c r="C7" s="15"/>
      <c r="D7" s="15"/>
      <c r="E7" s="15"/>
      <c r="F7" s="15"/>
      <c r="G7" s="15"/>
      <c r="H7" s="15"/>
      <c r="I7" s="15"/>
      <c r="J7" s="15"/>
      <c r="K7" s="24"/>
    </row>
    <row r="8" spans="1:13">
      <c r="A8" s="24"/>
      <c r="B8" s="24"/>
      <c r="C8" s="24"/>
      <c r="D8" s="24"/>
      <c r="E8" s="24"/>
      <c r="F8" s="24"/>
      <c r="G8" s="24"/>
      <c r="H8" s="24"/>
      <c r="I8" s="24"/>
      <c r="J8" s="24"/>
      <c r="K8" s="24"/>
    </row>
  </sheetData>
  <sheetProtection algorithmName="SHA-512" hashValue="iSV1RUm7rzDUPFlEWGkbvp6q4HFugkIphaq/J8tlRmKaT6oDlmgQRjIkpn6hoX5wLDve1TFf+RiMB0JkNFHW1A==" saltValue="rxMfKjnYeI5PbMEPEGNfkQ==" spinCount="100000" sheet="1" objects="1" scenarios="1"/>
  <pageMargins left="0.7" right="0.7" top="0.75" bottom="0.75" header="0.3" footer="0.3"/>
  <pageSetup paperSize="9" orientation="portrait" horizontalDpi="300" verticalDpi="30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FFFF00"/>
  </sheetPr>
  <dimension ref="A1:L8"/>
  <sheetViews>
    <sheetView workbookViewId="0">
      <selection activeCell="I7" sqref="I7"/>
    </sheetView>
  </sheetViews>
  <sheetFormatPr defaultColWidth="9" defaultRowHeight="14.4"/>
  <cols>
    <col min="1" max="1" width="16.5546875" customWidth="1"/>
    <col min="2" max="2" width="11.109375" customWidth="1"/>
    <col min="3" max="3" width="11.44140625" customWidth="1"/>
    <col min="4" max="4" width="11.5546875" customWidth="1"/>
    <col min="5" max="5" width="11.109375" customWidth="1"/>
    <col min="6" max="7" width="11.33203125" customWidth="1"/>
    <col min="8" max="8" width="11.6640625" customWidth="1"/>
    <col min="9" max="9" width="11.109375" customWidth="1"/>
  </cols>
  <sheetData>
    <row r="1" spans="1:12">
      <c r="A1" s="19"/>
      <c r="B1" s="19"/>
      <c r="C1" s="19"/>
      <c r="D1" s="19"/>
      <c r="E1" s="19"/>
      <c r="F1" s="19"/>
      <c r="G1" s="19"/>
      <c r="H1" s="19"/>
      <c r="I1" s="19"/>
      <c r="J1" s="19"/>
      <c r="K1" s="24"/>
      <c r="L1" s="15"/>
    </row>
    <row r="2" spans="1:12">
      <c r="A2" s="20" t="s">
        <v>292</v>
      </c>
      <c r="B2" s="21">
        <v>45555</v>
      </c>
      <c r="C2" s="21">
        <v>45562</v>
      </c>
      <c r="D2" s="21">
        <v>45569</v>
      </c>
      <c r="E2" s="21">
        <v>45576</v>
      </c>
      <c r="F2" s="21">
        <v>45583</v>
      </c>
      <c r="G2" s="21">
        <v>45590</v>
      </c>
      <c r="H2" s="21">
        <v>45597</v>
      </c>
      <c r="I2" s="21">
        <v>45604</v>
      </c>
      <c r="J2" s="19"/>
      <c r="K2" s="24"/>
      <c r="L2" s="15"/>
    </row>
    <row r="3" spans="1:12">
      <c r="A3" s="20" t="s">
        <v>294</v>
      </c>
      <c r="B3" s="22">
        <f t="shared" ref="B3:I3" si="0">B4</f>
        <v>12.3487801515176</v>
      </c>
      <c r="C3" s="22">
        <f t="shared" si="0"/>
        <v>12.596631014149999</v>
      </c>
      <c r="D3" s="22">
        <f t="shared" si="0"/>
        <v>12.728824087969999</v>
      </c>
      <c r="E3" s="22">
        <f t="shared" si="0"/>
        <v>12.697813827940001</v>
      </c>
      <c r="F3" s="22">
        <f t="shared" si="0"/>
        <v>12.701048297550301</v>
      </c>
      <c r="G3" s="22">
        <f t="shared" si="0"/>
        <v>12.789155111611999</v>
      </c>
      <c r="H3" s="22">
        <f t="shared" si="0"/>
        <v>13.1600670153069</v>
      </c>
      <c r="I3" s="22">
        <f t="shared" si="0"/>
        <v>12.888080361994271</v>
      </c>
      <c r="J3" s="19"/>
      <c r="K3" s="24"/>
      <c r="L3" s="15"/>
    </row>
    <row r="4" spans="1:12">
      <c r="A4" s="19"/>
      <c r="B4" s="23">
        <f>'NAV Trend'!C16/1000000000</f>
        <v>12.3487801515176</v>
      </c>
      <c r="C4" s="23">
        <f>'NAV Trend'!D16/1000000000</f>
        <v>12.596631014149999</v>
      </c>
      <c r="D4" s="23">
        <f>'NAV Trend'!E16/1000000000</f>
        <v>12.728824087969999</v>
      </c>
      <c r="E4" s="23">
        <f>'NAV Trend'!F16/1000000000</f>
        <v>12.697813827940001</v>
      </c>
      <c r="F4" s="23">
        <f>'NAV Trend'!G16/1000000000</f>
        <v>12.701048297550301</v>
      </c>
      <c r="G4" s="23">
        <f>'NAV Trend'!H16/1000000000</f>
        <v>12.789155111611999</v>
      </c>
      <c r="H4" s="23">
        <f>'NAV Trend'!I16/1000000000</f>
        <v>13.1600670153069</v>
      </c>
      <c r="I4" s="25">
        <f>'NAV Trend'!J16/1000000000</f>
        <v>12.888080361994271</v>
      </c>
      <c r="J4" s="19"/>
      <c r="K4" s="24"/>
      <c r="L4" s="15"/>
    </row>
    <row r="5" spans="1:12">
      <c r="A5" s="19"/>
      <c r="B5" s="19"/>
      <c r="C5" s="19"/>
      <c r="D5" s="19"/>
      <c r="E5" s="19"/>
      <c r="F5" s="19"/>
      <c r="G5" s="19"/>
      <c r="H5" s="19"/>
      <c r="I5" s="19"/>
      <c r="J5" s="19"/>
      <c r="K5" s="24"/>
      <c r="L5" s="15"/>
    </row>
    <row r="6" spans="1:12">
      <c r="A6" s="15"/>
      <c r="B6" s="15"/>
      <c r="C6" s="15"/>
      <c r="D6" s="15"/>
      <c r="E6" s="15"/>
      <c r="F6" s="15"/>
      <c r="G6" s="15"/>
      <c r="H6" s="15"/>
      <c r="I6" s="15"/>
      <c r="J6" s="15"/>
      <c r="K6" s="24"/>
      <c r="L6" s="15"/>
    </row>
    <row r="7" spans="1:12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</row>
    <row r="8" spans="1:12">
      <c r="A8" s="24"/>
      <c r="B8" s="24"/>
      <c r="C8" s="24"/>
      <c r="D8" s="24"/>
      <c r="E8" s="24"/>
      <c r="F8" s="24"/>
      <c r="G8" s="24"/>
      <c r="H8" s="24"/>
      <c r="I8" s="24"/>
      <c r="J8" s="24"/>
      <c r="K8" s="15"/>
    </row>
  </sheetData>
  <sheetProtection algorithmName="SHA-512" hashValue="3uFsb26GRcdEBcfFf6nSyONzSAkvvQjRSJp48ynxFzlLw0AGHhAIAOOXYQ7jXv9ewNlu00akEI/oB1iE68AkeQ==" saltValue="PY2vuxCw6arUwBsuIur5Zg==" spinCount="100000" sheet="1" objects="1" scenarios="1"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K22"/>
  <sheetViews>
    <sheetView topLeftCell="D1" workbookViewId="0">
      <selection activeCell="J16" sqref="J16"/>
    </sheetView>
  </sheetViews>
  <sheetFormatPr defaultColWidth="9" defaultRowHeight="14.4"/>
  <cols>
    <col min="1" max="1" width="36.33203125" customWidth="1"/>
    <col min="2" max="2" width="23.5546875" customWidth="1"/>
    <col min="3" max="3" width="22.5546875" customWidth="1"/>
    <col min="4" max="4" width="20.88671875" customWidth="1"/>
    <col min="5" max="5" width="22.5546875" customWidth="1"/>
    <col min="6" max="6" width="24.6640625" customWidth="1"/>
    <col min="7" max="7" width="22.44140625" customWidth="1"/>
    <col min="8" max="8" width="24.33203125" customWidth="1"/>
    <col min="9" max="9" width="22.5546875" customWidth="1"/>
    <col min="10" max="10" width="21.6640625" customWidth="1"/>
    <col min="11" max="12" width="20.6640625" customWidth="1"/>
    <col min="13" max="13" width="20.5546875" customWidth="1"/>
  </cols>
  <sheetData>
    <row r="1" spans="1:11" ht="15.6">
      <c r="A1" s="1" t="s">
        <v>286</v>
      </c>
      <c r="B1" s="2">
        <v>45548</v>
      </c>
      <c r="C1" s="2">
        <v>45555</v>
      </c>
      <c r="D1" s="2">
        <v>45562</v>
      </c>
      <c r="E1" s="2">
        <v>45569</v>
      </c>
      <c r="F1" s="2">
        <v>45576</v>
      </c>
      <c r="G1" s="2">
        <v>45583</v>
      </c>
      <c r="H1" s="2">
        <v>45590</v>
      </c>
      <c r="I1" s="2">
        <v>45597</v>
      </c>
      <c r="J1" s="2">
        <v>45604</v>
      </c>
    </row>
    <row r="2" spans="1:11">
      <c r="A2" s="3" t="s">
        <v>20</v>
      </c>
      <c r="B2" s="4">
        <v>27732432482.203999</v>
      </c>
      <c r="C2" s="4">
        <v>28146858775.669201</v>
      </c>
      <c r="D2" s="4">
        <v>28730451829.155499</v>
      </c>
      <c r="E2" s="4">
        <v>28625624040.070999</v>
      </c>
      <c r="F2" s="4">
        <v>28910390807.939201</v>
      </c>
      <c r="G2" s="4">
        <v>28835332748.209999</v>
      </c>
      <c r="H2" s="4">
        <v>29468827560.84</v>
      </c>
      <c r="I2" s="4">
        <v>29662249858.959999</v>
      </c>
      <c r="J2" s="4">
        <v>29877584741.98</v>
      </c>
    </row>
    <row r="3" spans="1:11">
      <c r="A3" s="3" t="s">
        <v>57</v>
      </c>
      <c r="B3" s="4">
        <v>1334285121601.73</v>
      </c>
      <c r="C3" s="4">
        <v>1367483009916.49</v>
      </c>
      <c r="D3" s="4">
        <v>1391842705992.02</v>
      </c>
      <c r="E3" s="4">
        <v>1431162477919.05</v>
      </c>
      <c r="F3" s="4">
        <v>1454546860218.4099</v>
      </c>
      <c r="G3" s="4">
        <v>1470975929116.3201</v>
      </c>
      <c r="H3" s="4">
        <v>1494354372784.55</v>
      </c>
      <c r="I3" s="4">
        <v>1514887327409.3999</v>
      </c>
      <c r="J3" s="4">
        <v>1524333945094.0388</v>
      </c>
    </row>
    <row r="4" spans="1:11">
      <c r="A4" s="3" t="s">
        <v>288</v>
      </c>
      <c r="B4" s="5">
        <v>218027725773.40799</v>
      </c>
      <c r="C4" s="5">
        <v>215542773710.897</v>
      </c>
      <c r="D4" s="5">
        <v>215016078902.25299</v>
      </c>
      <c r="E4" s="5">
        <v>213364990329.59201</v>
      </c>
      <c r="F4" s="5">
        <v>215873237311.21799</v>
      </c>
      <c r="G4" s="5">
        <v>217596244711.89499</v>
      </c>
      <c r="H4" s="5">
        <v>217295638150.86499</v>
      </c>
      <c r="I4" s="5">
        <v>216996701591.78</v>
      </c>
      <c r="J4" s="5">
        <v>212549652307.17569</v>
      </c>
    </row>
    <row r="5" spans="1:11">
      <c r="A5" s="3" t="s">
        <v>161</v>
      </c>
      <c r="B5" s="4">
        <v>1668230249491.24</v>
      </c>
      <c r="C5" s="4">
        <v>1643587494351.8101</v>
      </c>
      <c r="D5" s="4">
        <v>1677183716252.02</v>
      </c>
      <c r="E5" s="4">
        <v>1708200360895.5601</v>
      </c>
      <c r="F5" s="4">
        <v>1701912454705.3701</v>
      </c>
      <c r="G5" s="4">
        <v>1725249769600.5901</v>
      </c>
      <c r="H5" s="4">
        <v>1732271506927.05</v>
      </c>
      <c r="I5" s="4">
        <v>1786622536580.1599</v>
      </c>
      <c r="J5" s="4">
        <v>1806075096556.1135</v>
      </c>
    </row>
    <row r="6" spans="1:11">
      <c r="A6" s="3" t="s">
        <v>289</v>
      </c>
      <c r="B6" s="6">
        <v>97204373692.430298</v>
      </c>
      <c r="C6" s="6">
        <v>97288036533.859207</v>
      </c>
      <c r="D6" s="6">
        <v>97416504495.638397</v>
      </c>
      <c r="E6" s="6">
        <v>98643900599.545593</v>
      </c>
      <c r="F6" s="6">
        <v>98713044971.160706</v>
      </c>
      <c r="G6" s="6">
        <v>98768307559.7341</v>
      </c>
      <c r="H6" s="6">
        <v>98833512064.041199</v>
      </c>
      <c r="I6" s="6">
        <v>98953116968.937393</v>
      </c>
      <c r="J6" s="6">
        <v>99081658987.424438</v>
      </c>
    </row>
    <row r="7" spans="1:11">
      <c r="A7" s="3" t="s">
        <v>200</v>
      </c>
      <c r="B7" s="7">
        <v>50669138356.323997</v>
      </c>
      <c r="C7" s="7">
        <v>51108128793.195503</v>
      </c>
      <c r="D7" s="7">
        <v>51162095071.512901</v>
      </c>
      <c r="E7" s="7">
        <v>51490300364.745796</v>
      </c>
      <c r="F7" s="7">
        <v>51768750825.837799</v>
      </c>
      <c r="G7" s="7">
        <v>51772807386.093002</v>
      </c>
      <c r="H7" s="7">
        <v>52310062102.176598</v>
      </c>
      <c r="I7" s="7">
        <v>52773311659.495102</v>
      </c>
      <c r="J7" s="7">
        <v>52945664168.085022</v>
      </c>
    </row>
    <row r="8" spans="1:11">
      <c r="A8" s="3" t="s">
        <v>232</v>
      </c>
      <c r="B8" s="6">
        <v>5333158647.2600002</v>
      </c>
      <c r="C8" s="6">
        <v>5366654391.6099997</v>
      </c>
      <c r="D8" s="6">
        <v>5372547709.2600002</v>
      </c>
      <c r="E8" s="6">
        <v>5412099692.1300001</v>
      </c>
      <c r="F8" s="6">
        <v>5446732461.79</v>
      </c>
      <c r="G8" s="6">
        <v>5394637628.9300003</v>
      </c>
      <c r="H8" s="6">
        <v>5490735929.6499996</v>
      </c>
      <c r="I8" s="6">
        <v>5514830055.6700001</v>
      </c>
      <c r="J8" s="6">
        <v>5557964924.1800003</v>
      </c>
    </row>
    <row r="9" spans="1:11">
      <c r="A9" s="3" t="s">
        <v>290</v>
      </c>
      <c r="B9" s="6">
        <v>51328033417.638199</v>
      </c>
      <c r="C9" s="6">
        <v>51462714778.755096</v>
      </c>
      <c r="D9" s="6">
        <v>51613303503.931396</v>
      </c>
      <c r="E9" s="6">
        <v>50991417925.0597</v>
      </c>
      <c r="F9" s="6">
        <v>51477048630.5009</v>
      </c>
      <c r="G9" s="6">
        <v>51262988903.490097</v>
      </c>
      <c r="H9" s="6">
        <v>51068422934.812202</v>
      </c>
      <c r="I9" s="6">
        <v>50663887289.265602</v>
      </c>
      <c r="J9" s="6">
        <v>51182391263.795021</v>
      </c>
    </row>
    <row r="10" spans="1:11" ht="15.6">
      <c r="A10" s="8" t="s">
        <v>295</v>
      </c>
      <c r="B10" s="9">
        <f t="shared" ref="B10:J10" si="0">SUM(B2:B9)</f>
        <v>3452810233462.2344</v>
      </c>
      <c r="C10" s="9">
        <f t="shared" si="0"/>
        <v>3459985671252.2856</v>
      </c>
      <c r="D10" s="9">
        <f t="shared" si="0"/>
        <v>3518337403755.79</v>
      </c>
      <c r="E10" s="9">
        <f t="shared" si="0"/>
        <v>3587891171765.7539</v>
      </c>
      <c r="F10" s="9">
        <f t="shared" si="0"/>
        <v>3608648519932.2271</v>
      </c>
      <c r="G10" s="9">
        <f t="shared" si="0"/>
        <v>3649856017655.2622</v>
      </c>
      <c r="H10" s="9">
        <f t="shared" si="0"/>
        <v>3681093078453.9849</v>
      </c>
      <c r="I10" s="9">
        <f t="shared" si="0"/>
        <v>3756073961413.668</v>
      </c>
      <c r="J10" s="9">
        <f t="shared" si="0"/>
        <v>3781603958042.7925</v>
      </c>
    </row>
    <row r="11" spans="1:11">
      <c r="A11" s="10"/>
      <c r="B11" s="11"/>
      <c r="C11" s="11"/>
      <c r="D11" s="11"/>
      <c r="E11" s="11"/>
      <c r="F11" s="11"/>
      <c r="G11" s="11"/>
      <c r="H11" s="11"/>
      <c r="I11" s="10"/>
      <c r="J11" s="10"/>
    </row>
    <row r="12" spans="1:11" ht="15.6">
      <c r="A12" s="12" t="s">
        <v>296</v>
      </c>
      <c r="B12" s="158" t="s">
        <v>297</v>
      </c>
      <c r="C12" s="13">
        <f>(B10+C10)/2</f>
        <v>3456397952357.2598</v>
      </c>
      <c r="D12" s="14">
        <f t="shared" ref="D12:J12" si="1">(C10+D10)/2</f>
        <v>3489161537504.0381</v>
      </c>
      <c r="E12" s="14">
        <f t="shared" si="1"/>
        <v>3553114287760.772</v>
      </c>
      <c r="F12" s="14">
        <f t="shared" si="1"/>
        <v>3598269845848.9902</v>
      </c>
      <c r="G12" s="14">
        <f t="shared" si="1"/>
        <v>3629252268793.7446</v>
      </c>
      <c r="H12" s="14">
        <f t="shared" si="1"/>
        <v>3665474548054.6235</v>
      </c>
      <c r="I12" s="14">
        <f t="shared" si="1"/>
        <v>3718583519933.8262</v>
      </c>
      <c r="J12" s="14">
        <f t="shared" si="1"/>
        <v>3768838959728.2305</v>
      </c>
    </row>
    <row r="13" spans="1:11">
      <c r="C13" s="15"/>
      <c r="D13" s="15"/>
      <c r="E13" s="15"/>
      <c r="F13" s="15"/>
      <c r="G13" s="15"/>
      <c r="H13" s="15"/>
      <c r="I13" s="15"/>
      <c r="J13" s="15"/>
      <c r="K13" s="15"/>
    </row>
    <row r="14" spans="1:11">
      <c r="A14" s="15"/>
      <c r="B14" s="15"/>
      <c r="C14" s="15"/>
      <c r="D14" s="15"/>
      <c r="E14" s="15"/>
      <c r="F14" s="15"/>
      <c r="G14" s="15"/>
      <c r="H14" s="15"/>
      <c r="I14" s="15"/>
      <c r="J14" s="15"/>
      <c r="K14" s="15"/>
    </row>
    <row r="15" spans="1:11">
      <c r="A15" s="15"/>
      <c r="B15" s="2">
        <v>45548</v>
      </c>
      <c r="C15" s="2">
        <v>45555</v>
      </c>
      <c r="D15" s="2">
        <v>45562</v>
      </c>
      <c r="E15" s="2">
        <v>45569</v>
      </c>
      <c r="F15" s="2">
        <v>45576</v>
      </c>
      <c r="G15" s="2">
        <v>45583</v>
      </c>
      <c r="H15" s="2">
        <v>45590</v>
      </c>
      <c r="I15" s="2">
        <v>45597</v>
      </c>
      <c r="J15" s="2">
        <v>45604</v>
      </c>
      <c r="K15" s="15"/>
    </row>
    <row r="16" spans="1:11">
      <c r="A16" s="16" t="s">
        <v>298</v>
      </c>
      <c r="B16" s="17">
        <v>12168273401.8876</v>
      </c>
      <c r="C16" s="17">
        <v>12348780151.517599</v>
      </c>
      <c r="D16" s="17">
        <v>12596631014.15</v>
      </c>
      <c r="E16" s="17">
        <v>12728824087.969999</v>
      </c>
      <c r="F16" s="17">
        <v>12697813827.940001</v>
      </c>
      <c r="G16" s="17">
        <v>12701048297.550301</v>
      </c>
      <c r="H16" s="17">
        <v>12789155111.612</v>
      </c>
      <c r="I16" s="17">
        <v>13160067015.3069</v>
      </c>
      <c r="J16" s="17">
        <v>12888080361.994272</v>
      </c>
      <c r="K16" s="15"/>
    </row>
    <row r="17" spans="1:11">
      <c r="A17" s="15"/>
      <c r="B17" s="15"/>
      <c r="C17" s="15"/>
      <c r="D17" s="15"/>
      <c r="E17" s="15"/>
      <c r="F17" s="15"/>
      <c r="G17" s="15"/>
      <c r="H17" s="15"/>
      <c r="I17" s="15"/>
      <c r="J17" s="15"/>
      <c r="K17" s="15"/>
    </row>
    <row r="18" spans="1:11">
      <c r="A18" s="15"/>
      <c r="B18" s="15"/>
      <c r="C18" s="18"/>
      <c r="D18" s="18"/>
      <c r="E18" s="18"/>
      <c r="F18" s="18"/>
      <c r="G18" s="18"/>
      <c r="H18" s="18"/>
      <c r="I18" s="18"/>
      <c r="J18" s="18"/>
      <c r="K18" s="15"/>
    </row>
    <row r="19" spans="1:11">
      <c r="A19" s="15"/>
      <c r="B19" s="15"/>
      <c r="C19" s="15"/>
      <c r="D19" s="15"/>
      <c r="E19" s="15"/>
      <c r="F19" s="15"/>
      <c r="G19" s="15"/>
      <c r="H19" s="15"/>
      <c r="I19" s="15"/>
      <c r="J19" s="15"/>
      <c r="K19" s="15"/>
    </row>
    <row r="20" spans="1:11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</row>
    <row r="21" spans="1:11">
      <c r="B21" s="15"/>
      <c r="C21" s="15"/>
      <c r="D21" s="15"/>
      <c r="E21" s="15"/>
      <c r="F21" s="15"/>
      <c r="G21" s="15"/>
      <c r="H21" s="15"/>
      <c r="I21" s="15"/>
      <c r="J21" s="15"/>
      <c r="K21" s="15"/>
    </row>
    <row r="22" spans="1:11">
      <c r="B22" s="15"/>
      <c r="C22" s="15"/>
      <c r="D22" s="15"/>
      <c r="E22" s="15"/>
      <c r="F22" s="15"/>
      <c r="G22" s="15"/>
      <c r="H22" s="15"/>
      <c r="I22" s="15"/>
      <c r="J22" s="15"/>
      <c r="K22" s="19"/>
    </row>
  </sheetData>
  <sheetProtection algorithmName="SHA-512" hashValue="pLMJLtzi1EvPf1JCB3QDWc3vG1Pyr5Zk33N90kva2g+T/iMwd7dD8ZB9cWzKtabhnGeldr0rPBh+EzLsjPGDRQ==" saltValue="+viOnNNke1F2v90Csyltlg==" spinCount="100000" sheet="1" objects="1" scenarios="1"/>
  <pageMargins left="0.7" right="0.7" top="0.75" bottom="0.75" header="0.3" footer="0.3"/>
  <pageSetup paperSize="9" orientation="portrait" horizontalDpi="300" verticalDpi="300"/>
  <ignoredErrors>
    <ignoredError sqref="B10:J10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Weekly Valuation</vt:lpstr>
      <vt:lpstr>NAV Comparison</vt:lpstr>
      <vt:lpstr>Market Share</vt:lpstr>
      <vt:lpstr>8-Week Movement in NAV</vt:lpstr>
      <vt:lpstr>8-Week Movement in ETFs</vt:lpstr>
      <vt:lpstr>NAV Trend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 RV</dc:creator>
  <cp:lastModifiedBy>Isaac, Tunde</cp:lastModifiedBy>
  <dcterms:created xsi:type="dcterms:W3CDTF">2023-10-09T09:40:00Z</dcterms:created>
  <dcterms:modified xsi:type="dcterms:W3CDTF">2024-11-16T20:07:58Z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A438AA3AB3D54FD3925988ED903466DD_13</vt:lpwstr>
  </property>
  <property fmtid="{D5CDD505-2E9C-101B-9397-08002B2CF9AE}" pid="3" name="KSOProductBuildVer">
    <vt:lpwstr>1033-12.2.0.13266</vt:lpwstr>
  </property>
</Properties>
</file>