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6" i="1" l="1"/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N100" i="1"/>
  <c r="M100" i="1"/>
  <c r="K100" i="1"/>
  <c r="R12" i="1"/>
  <c r="N111" i="1"/>
  <c r="M111" i="1"/>
  <c r="R48" i="1" l="1"/>
  <c r="V48" i="1"/>
  <c r="U48" i="1"/>
  <c r="T48" i="1"/>
  <c r="S48" i="1"/>
  <c r="N96" i="1"/>
  <c r="M96" i="1"/>
  <c r="K96" i="1"/>
  <c r="N108" i="1"/>
  <c r="M108" i="1"/>
  <c r="K108" i="1"/>
  <c r="N112" i="1"/>
  <c r="M112" i="1"/>
  <c r="N102" i="1" l="1"/>
  <c r="M102" i="1"/>
  <c r="K102" i="1"/>
  <c r="N101" i="1" l="1"/>
  <c r="M101" i="1"/>
  <c r="K101" i="1"/>
  <c r="N115" i="1"/>
  <c r="M115" i="1"/>
  <c r="N95" i="1" l="1"/>
  <c r="M95" i="1"/>
  <c r="K95" i="1"/>
  <c r="N103" i="1" l="1"/>
  <c r="M103" i="1"/>
  <c r="K103" i="1"/>
  <c r="N94" i="1" l="1"/>
  <c r="M94" i="1"/>
  <c r="K94" i="1"/>
  <c r="N93" i="1"/>
  <c r="M93" i="1"/>
  <c r="G115" i="1"/>
  <c r="F115" i="1"/>
  <c r="G112" i="1"/>
  <c r="F112" i="1"/>
  <c r="G111" i="1"/>
  <c r="F111" i="1"/>
  <c r="G108" i="1"/>
  <c r="F108" i="1"/>
  <c r="D108" i="1"/>
  <c r="G103" i="1"/>
  <c r="F103" i="1"/>
  <c r="G102" i="1"/>
  <c r="F102" i="1"/>
  <c r="G101" i="1"/>
  <c r="F101" i="1"/>
  <c r="G100" i="1"/>
  <c r="F100" i="1"/>
  <c r="G96" i="1"/>
  <c r="F96" i="1"/>
  <c r="G95" i="1"/>
  <c r="F95" i="1"/>
  <c r="G94" i="1"/>
  <c r="F94" i="1"/>
  <c r="G93" i="1"/>
  <c r="F93" i="1"/>
  <c r="D103" i="1"/>
  <c r="D102" i="1"/>
  <c r="D101" i="1"/>
  <c r="D100" i="1"/>
  <c r="D96" i="1"/>
  <c r="D95" i="1"/>
  <c r="D94" i="1"/>
  <c r="V96" i="1" l="1"/>
  <c r="U96" i="1"/>
  <c r="T96" i="1"/>
  <c r="S96" i="1"/>
  <c r="R96" i="1"/>
  <c r="V120" i="1" l="1"/>
  <c r="U120" i="1"/>
  <c r="T120" i="1"/>
  <c r="S120" i="1"/>
  <c r="R120" i="1"/>
  <c r="I10" i="4" l="1"/>
  <c r="H10" i="4"/>
  <c r="G10" i="4"/>
  <c r="F10" i="4"/>
  <c r="E10" i="4"/>
  <c r="D10" i="4"/>
  <c r="C10" i="4"/>
  <c r="B10" i="4"/>
  <c r="R70" i="1"/>
  <c r="V173" i="1" l="1"/>
  <c r="U173" i="1"/>
  <c r="T173" i="1"/>
  <c r="S173" i="1"/>
  <c r="R173" i="1"/>
  <c r="S162" i="1" l="1"/>
  <c r="D157" i="1" l="1"/>
  <c r="D116" i="1"/>
  <c r="E96" i="1" s="1"/>
  <c r="R86" i="1" l="1"/>
  <c r="S86" i="1"/>
  <c r="T86" i="1"/>
  <c r="U86" i="1"/>
  <c r="V86" i="1"/>
  <c r="D196" i="1"/>
  <c r="D175" i="1"/>
  <c r="E173" i="1" s="1"/>
  <c r="D124" i="1"/>
  <c r="E120" i="1" s="1"/>
  <c r="D55" i="1"/>
  <c r="R155" i="1" l="1"/>
  <c r="R78" i="1" l="1"/>
  <c r="S78" i="1"/>
  <c r="T78" i="1"/>
  <c r="V78" i="1"/>
  <c r="U78" i="1"/>
  <c r="D22" i="1" l="1"/>
  <c r="R109" i="1" l="1"/>
  <c r="R19" i="1" l="1"/>
  <c r="R185" i="1" l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S196" i="1"/>
  <c r="U196" i="1"/>
  <c r="V196" i="1"/>
  <c r="V184" i="1"/>
  <c r="U184" i="1"/>
  <c r="T184" i="1"/>
  <c r="S184" i="1"/>
  <c r="R184" i="1"/>
  <c r="V180" i="1"/>
  <c r="U180" i="1"/>
  <c r="T180" i="1"/>
  <c r="S180" i="1"/>
  <c r="R180" i="1"/>
  <c r="V179" i="1"/>
  <c r="U179" i="1"/>
  <c r="T179" i="1"/>
  <c r="S179" i="1"/>
  <c r="R179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R172" i="1"/>
  <c r="S172" i="1"/>
  <c r="T172" i="1"/>
  <c r="U172" i="1"/>
  <c r="V172" i="1"/>
  <c r="R174" i="1"/>
  <c r="S174" i="1"/>
  <c r="T174" i="1"/>
  <c r="U174" i="1"/>
  <c r="V174" i="1"/>
  <c r="S175" i="1"/>
  <c r="U175" i="1"/>
  <c r="V175" i="1"/>
  <c r="V165" i="1"/>
  <c r="U165" i="1"/>
  <c r="T165" i="1"/>
  <c r="S165" i="1"/>
  <c r="R165" i="1"/>
  <c r="V162" i="1"/>
  <c r="U162" i="1"/>
  <c r="T162" i="1"/>
  <c r="R162" i="1"/>
  <c r="V161" i="1"/>
  <c r="U161" i="1"/>
  <c r="T161" i="1"/>
  <c r="S161" i="1"/>
  <c r="R161" i="1"/>
  <c r="S155" i="1"/>
  <c r="T155" i="1"/>
  <c r="U155" i="1"/>
  <c r="V155" i="1"/>
  <c r="R156" i="1"/>
  <c r="S156" i="1"/>
  <c r="T156" i="1"/>
  <c r="U156" i="1"/>
  <c r="V156" i="1"/>
  <c r="S157" i="1"/>
  <c r="U157" i="1"/>
  <c r="V157" i="1"/>
  <c r="V154" i="1"/>
  <c r="U154" i="1"/>
  <c r="T154" i="1"/>
  <c r="S154" i="1"/>
  <c r="R154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S151" i="1"/>
  <c r="U151" i="1"/>
  <c r="V151" i="1"/>
  <c r="V127" i="1"/>
  <c r="U127" i="1"/>
  <c r="T127" i="1"/>
  <c r="S127" i="1"/>
  <c r="R127" i="1"/>
  <c r="R121" i="1"/>
  <c r="S121" i="1"/>
  <c r="T121" i="1"/>
  <c r="U121" i="1"/>
  <c r="V121" i="1"/>
  <c r="R122" i="1"/>
  <c r="S122" i="1"/>
  <c r="T122" i="1"/>
  <c r="U122" i="1"/>
  <c r="V122" i="1"/>
  <c r="R123" i="1"/>
  <c r="S123" i="1"/>
  <c r="T123" i="1"/>
  <c r="U123" i="1"/>
  <c r="V123" i="1"/>
  <c r="S124" i="1"/>
  <c r="U124" i="1"/>
  <c r="V124" i="1"/>
  <c r="V119" i="1"/>
  <c r="U119" i="1"/>
  <c r="T119" i="1"/>
  <c r="S119" i="1"/>
  <c r="R119" i="1"/>
  <c r="R108" i="1"/>
  <c r="S108" i="1"/>
  <c r="T108" i="1"/>
  <c r="U108" i="1"/>
  <c r="V108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S116" i="1"/>
  <c r="U116" i="1"/>
  <c r="V116" i="1"/>
  <c r="V107" i="1"/>
  <c r="U107" i="1"/>
  <c r="T107" i="1"/>
  <c r="S107" i="1"/>
  <c r="R107" i="1"/>
  <c r="R94" i="1"/>
  <c r="S94" i="1"/>
  <c r="T94" i="1"/>
  <c r="U94" i="1"/>
  <c r="V94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V93" i="1"/>
  <c r="U93" i="1"/>
  <c r="T93" i="1"/>
  <c r="S93" i="1"/>
  <c r="R93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7" i="1"/>
  <c r="S87" i="1"/>
  <c r="T87" i="1"/>
  <c r="U87" i="1"/>
  <c r="V87" i="1"/>
  <c r="R88" i="1"/>
  <c r="S88" i="1"/>
  <c r="T88" i="1"/>
  <c r="U88" i="1"/>
  <c r="V88" i="1"/>
  <c r="S89" i="1"/>
  <c r="U89" i="1"/>
  <c r="V89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S21" i="1"/>
  <c r="T21" i="1"/>
  <c r="U21" i="1"/>
  <c r="V21" i="1"/>
  <c r="S22" i="1"/>
  <c r="U22" i="1"/>
  <c r="V22" i="1"/>
  <c r="V6" i="1"/>
  <c r="U6" i="1"/>
  <c r="T6" i="1"/>
  <c r="V63" i="1" l="1"/>
  <c r="V130" i="1"/>
  <c r="O175" i="1" l="1"/>
  <c r="O196" i="1"/>
  <c r="K196" i="1"/>
  <c r="L195" i="1" s="1"/>
  <c r="H196" i="1"/>
  <c r="K181" i="1"/>
  <c r="H181" i="1"/>
  <c r="D181" i="1"/>
  <c r="H175" i="1"/>
  <c r="K175" i="1"/>
  <c r="H157" i="1"/>
  <c r="O157" i="1"/>
  <c r="K157" i="1"/>
  <c r="O151" i="1"/>
  <c r="K151" i="1"/>
  <c r="H151" i="1"/>
  <c r="D151" i="1"/>
  <c r="O124" i="1"/>
  <c r="K124" i="1"/>
  <c r="L120" i="1" s="1"/>
  <c r="H124" i="1"/>
  <c r="T124" i="1" s="1"/>
  <c r="H116" i="1"/>
  <c r="O116" i="1"/>
  <c r="K116" i="1"/>
  <c r="L96" i="1" s="1"/>
  <c r="O89" i="1"/>
  <c r="K89" i="1"/>
  <c r="H89" i="1"/>
  <c r="D89" i="1"/>
  <c r="O55" i="1"/>
  <c r="K55" i="1"/>
  <c r="H55" i="1"/>
  <c r="O22" i="1"/>
  <c r="H22" i="1"/>
  <c r="E48" i="1" l="1"/>
  <c r="L47" i="1"/>
  <c r="L49" i="1"/>
  <c r="L48" i="1"/>
  <c r="L50" i="1"/>
  <c r="L93" i="1"/>
  <c r="L107" i="1"/>
  <c r="L142" i="1"/>
  <c r="L147" i="1"/>
  <c r="L171" i="1"/>
  <c r="L173" i="1"/>
  <c r="L81" i="1"/>
  <c r="L61" i="1"/>
  <c r="L146" i="1"/>
  <c r="L95" i="1"/>
  <c r="L25" i="1"/>
  <c r="L38" i="1"/>
  <c r="T175" i="1"/>
  <c r="L85" i="1"/>
  <c r="L86" i="1"/>
  <c r="E78" i="1"/>
  <c r="E86" i="1"/>
  <c r="T196" i="1"/>
  <c r="L78" i="1"/>
  <c r="T55" i="1"/>
  <c r="T157" i="1"/>
  <c r="R157" i="1"/>
  <c r="T89" i="1"/>
  <c r="T151" i="1"/>
  <c r="T22" i="1"/>
  <c r="R124" i="1"/>
  <c r="R196" i="1"/>
  <c r="T116" i="1"/>
  <c r="O176" i="1"/>
  <c r="O197" i="1" s="1"/>
  <c r="R151" i="1"/>
  <c r="L141" i="1"/>
  <c r="R116" i="1"/>
  <c r="R89" i="1"/>
  <c r="L60" i="1"/>
  <c r="L62" i="1"/>
  <c r="L64" i="1"/>
  <c r="L66" i="1"/>
  <c r="L68" i="1"/>
  <c r="L70" i="1"/>
  <c r="L72" i="1"/>
  <c r="L74" i="1"/>
  <c r="L76" i="1"/>
  <c r="L79" i="1"/>
  <c r="L83" i="1"/>
  <c r="L88" i="1"/>
  <c r="L59" i="1"/>
  <c r="L63" i="1"/>
  <c r="L65" i="1"/>
  <c r="L67" i="1"/>
  <c r="L69" i="1"/>
  <c r="L71" i="1"/>
  <c r="L73" i="1"/>
  <c r="L75" i="1"/>
  <c r="L77" i="1"/>
  <c r="L80" i="1"/>
  <c r="L82" i="1"/>
  <c r="L84" i="1"/>
  <c r="L87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E167" i="1"/>
  <c r="E169" i="1"/>
  <c r="E171" i="1"/>
  <c r="E174" i="1"/>
  <c r="E166" i="1"/>
  <c r="E168" i="1"/>
  <c r="E170" i="1"/>
  <c r="E172" i="1"/>
  <c r="R175" i="1"/>
  <c r="H176" i="1"/>
  <c r="H197" i="1" s="1"/>
  <c r="J10" i="4"/>
  <c r="J12" i="4" s="1"/>
  <c r="I12" i="4"/>
  <c r="H12" i="4"/>
  <c r="G12" i="4"/>
  <c r="F12" i="4"/>
  <c r="E12" i="4"/>
  <c r="C12" i="4"/>
  <c r="L194" i="1"/>
  <c r="E192" i="1"/>
  <c r="L193" i="1"/>
  <c r="L192" i="1"/>
  <c r="L190" i="1"/>
  <c r="L189" i="1"/>
  <c r="L188" i="1"/>
  <c r="L186" i="1"/>
  <c r="L185" i="1"/>
  <c r="L184" i="1"/>
  <c r="V181" i="1"/>
  <c r="U181" i="1"/>
  <c r="L179" i="1"/>
  <c r="E179" i="1"/>
  <c r="L172" i="1"/>
  <c r="L166" i="1"/>
  <c r="L162" i="1"/>
  <c r="L154" i="1"/>
  <c r="E156" i="1"/>
  <c r="E150" i="1"/>
  <c r="E147" i="1"/>
  <c r="L140" i="1"/>
  <c r="L138" i="1"/>
  <c r="L135" i="1"/>
  <c r="L132" i="1"/>
  <c r="L130" i="1"/>
  <c r="L127" i="1"/>
  <c r="L122" i="1"/>
  <c r="E123" i="1"/>
  <c r="L123" i="1"/>
  <c r="E85" i="1"/>
  <c r="E87" i="1"/>
  <c r="E84" i="1"/>
  <c r="E82" i="1"/>
  <c r="E80" i="1"/>
  <c r="E77" i="1"/>
  <c r="E75" i="1"/>
  <c r="E73" i="1"/>
  <c r="E71" i="1"/>
  <c r="E69" i="1"/>
  <c r="E67" i="1"/>
  <c r="E65" i="1"/>
  <c r="E63" i="1"/>
  <c r="E61" i="1"/>
  <c r="E59" i="1"/>
  <c r="L51" i="1"/>
  <c r="R55" i="1"/>
  <c r="L52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9" i="1"/>
  <c r="L128" i="1"/>
  <c r="L131" i="1"/>
  <c r="L134" i="1"/>
  <c r="L136" i="1"/>
  <c r="L139" i="1"/>
  <c r="L143" i="1"/>
  <c r="E18" i="1"/>
  <c r="L58" i="1"/>
  <c r="E62" i="1"/>
  <c r="E119" i="1"/>
  <c r="E127" i="1"/>
  <c r="E128" i="1"/>
  <c r="E129" i="1"/>
  <c r="E134" i="1"/>
  <c r="E135" i="1"/>
  <c r="E136" i="1"/>
  <c r="E137" i="1"/>
  <c r="E142" i="1"/>
  <c r="E145" i="1"/>
  <c r="E149" i="1"/>
  <c r="L168" i="1"/>
  <c r="L170" i="1"/>
  <c r="E11" i="1"/>
  <c r="E13" i="1"/>
  <c r="E16" i="1"/>
  <c r="E20" i="1"/>
  <c r="L29" i="1"/>
  <c r="L37" i="1"/>
  <c r="L43" i="1"/>
  <c r="K176" i="1"/>
  <c r="L121" i="1"/>
  <c r="E130" i="1"/>
  <c r="E131" i="1"/>
  <c r="E132" i="1"/>
  <c r="E133" i="1"/>
  <c r="E138" i="1"/>
  <c r="E139" i="1"/>
  <c r="E140" i="1"/>
  <c r="E141" i="1"/>
  <c r="E143" i="1"/>
  <c r="E144" i="1"/>
  <c r="E146" i="1"/>
  <c r="E148" i="1"/>
  <c r="L161" i="1"/>
  <c r="L167" i="1"/>
  <c r="L100" i="1"/>
  <c r="L109" i="1"/>
  <c r="L99" i="1"/>
  <c r="L33" i="1"/>
  <c r="L44" i="1"/>
  <c r="L53" i="1"/>
  <c r="E122" i="1"/>
  <c r="L145" i="1"/>
  <c r="L149" i="1"/>
  <c r="L156" i="1"/>
  <c r="E187" i="1"/>
  <c r="E191" i="1"/>
  <c r="E195" i="1"/>
  <c r="D12" i="4"/>
  <c r="E94" i="1"/>
  <c r="L36" i="1"/>
  <c r="L39" i="1"/>
  <c r="L30" i="1"/>
  <c r="L41" i="1"/>
  <c r="L129" i="1"/>
  <c r="L133" i="1"/>
  <c r="L137" i="1"/>
  <c r="E155" i="1"/>
  <c r="E165" i="1"/>
  <c r="E180" i="1"/>
  <c r="L187" i="1"/>
  <c r="L191" i="1"/>
  <c r="L28" i="1"/>
  <c r="E7" i="1"/>
  <c r="E17" i="1"/>
  <c r="E21" i="1"/>
  <c r="L27" i="1"/>
  <c r="L35" i="1"/>
  <c r="L46" i="1"/>
  <c r="E58" i="1"/>
  <c r="E66" i="1"/>
  <c r="E70" i="1"/>
  <c r="E74" i="1"/>
  <c r="E79" i="1"/>
  <c r="E83" i="1"/>
  <c r="E88" i="1"/>
  <c r="E121" i="1"/>
  <c r="L144" i="1"/>
  <c r="L148" i="1"/>
  <c r="L155" i="1"/>
  <c r="L165" i="1"/>
  <c r="L169" i="1"/>
  <c r="L174" i="1"/>
  <c r="L180" i="1"/>
  <c r="R181" i="1"/>
  <c r="E186" i="1"/>
  <c r="E190" i="1"/>
  <c r="E194" i="1"/>
  <c r="E154" i="1"/>
  <c r="E162" i="1"/>
  <c r="E185" i="1"/>
  <c r="E189" i="1"/>
  <c r="E193" i="1"/>
  <c r="L45" i="1"/>
  <c r="L54" i="1"/>
  <c r="L26" i="1"/>
  <c r="L34" i="1"/>
  <c r="E161" i="1"/>
  <c r="E12" i="1"/>
  <c r="E15" i="1"/>
  <c r="L31" i="1"/>
  <c r="L42" i="1"/>
  <c r="E60" i="1"/>
  <c r="E64" i="1"/>
  <c r="E68" i="1"/>
  <c r="E72" i="1"/>
  <c r="E76" i="1"/>
  <c r="E81" i="1"/>
  <c r="L150" i="1"/>
  <c r="E184" i="1"/>
  <c r="E188" i="1"/>
  <c r="L110" i="1" l="1"/>
  <c r="L94" i="1"/>
  <c r="L97" i="1"/>
  <c r="L103" i="1"/>
  <c r="L112" i="1"/>
  <c r="E108" i="1"/>
  <c r="L98" i="1"/>
  <c r="K197" i="1"/>
  <c r="L22" i="1"/>
  <c r="L151" i="1"/>
  <c r="L55" i="1"/>
  <c r="L124" i="1"/>
  <c r="L89" i="1"/>
  <c r="L116" i="1"/>
  <c r="L175" i="1"/>
  <c r="L157" i="1"/>
  <c r="L102" i="1"/>
  <c r="L101" i="1"/>
  <c r="L115" i="1"/>
  <c r="L111" i="1"/>
  <c r="L113" i="1"/>
  <c r="L104" i="1"/>
  <c r="L114" i="1"/>
  <c r="L108" i="1"/>
  <c r="E114" i="1"/>
  <c r="E111" i="1"/>
  <c r="E104" i="1"/>
  <c r="E101" i="1"/>
  <c r="E98" i="1"/>
  <c r="E103" i="1"/>
  <c r="E99" i="1"/>
  <c r="E109" i="1"/>
  <c r="E100" i="1"/>
  <c r="D176" i="1"/>
  <c r="E116" i="1" s="1"/>
  <c r="E115" i="1"/>
  <c r="E93" i="1"/>
  <c r="E102" i="1"/>
  <c r="E97" i="1"/>
  <c r="E113" i="1"/>
  <c r="E112" i="1"/>
  <c r="E110" i="1"/>
  <c r="E107" i="1"/>
  <c r="E55" i="1" l="1"/>
  <c r="E151" i="1"/>
  <c r="D197" i="1"/>
  <c r="E89" i="1"/>
  <c r="E22" i="1"/>
  <c r="E175" i="1"/>
  <c r="E124" i="1"/>
  <c r="E157" i="1"/>
</calcChain>
</file>

<file path=xl/sharedStrings.xml><?xml version="1.0" encoding="utf-8"?>
<sst xmlns="http://schemas.openxmlformats.org/spreadsheetml/2006/main" count="412" uniqueCount="259">
  <si>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</si>
  <si>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</si>
  <si>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</si>
  <si>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</si>
  <si>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</si>
  <si>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</si>
  <si>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</si>
  <si>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</si>
  <si>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</si>
  <si>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</si>
  <si>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</si>
  <si>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</si>
  <si>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</si>
  <si>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</si>
  <si>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</si>
  <si>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</si>
  <si>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</si>
  <si>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</si>
  <si>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</si>
  <si>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</si>
  <si>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</si>
  <si>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</si>
  <si>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</si>
  <si>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</si>
  <si>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</si>
  <si>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</si>
  <si>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</si>
  <si>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</si>
  <si>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</si>
  <si>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</si>
  <si>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</si>
  <si>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</si>
  <si>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</si>
  <si>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</si>
  <si>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</si>
  <si>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</si>
  <si>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</si>
  <si>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</si>
  <si>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</si>
  <si>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</si>
  <si>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</si>
  <si>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</si>
  <si>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</si>
  <si>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</si>
  <si>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</si>
  <si>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</si>
  <si>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</si>
  <si>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</si>
  <si>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</si>
  <si>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</si>
  <si>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</si>
  <si>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</si>
  <si>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</si>
  <si>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</si>
  <si>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</si>
  <si>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</si>
  <si>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</si>
  <si>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</si>
  <si>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</si>
  <si>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</si>
  <si>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</si>
  <si>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</si>
  <si>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</si>
  <si>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</si>
  <si>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</si>
  <si>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</si>
  <si>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</si>
  <si>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</si>
  <si>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</si>
  <si>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</si>
  <si>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</si>
  <si>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</si>
  <si>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</si>
  <si>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</si>
  <si>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</si>
  <si>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</si>
  <si>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</si>
  <si>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</si>
  <si>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</si>
  <si>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</si>
  <si>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</si>
  <si>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</si>
  <si>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</si>
  <si>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</si>
  <si>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</si>
  <si>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</si>
  <si>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</si>
  <si>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</si>
  <si>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</si>
  <si>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</si>
  <si>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</si>
  <si>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</si>
  <si>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</si>
  <si>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</si>
  <si>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</si>
  <si>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</si>
  <si>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</si>
  <si>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</si>
  <si>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</si>
  <si>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</si>
  <si>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</si>
  <si>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</si>
  <si>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</si>
  <si>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</si>
  <si>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</si>
  <si>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</si>
  <si>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</si>
  <si>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</si>
  <si>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</si>
  <si>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</si>
  <si>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</si>
  <si>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</si>
  <si>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</si>
  <si>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</si>
  <si>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</si>
  <si>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</si>
  <si>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</si>
  <si>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</si>
  <si>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</si>
  <si>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</si>
  <si>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</si>
  <si>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</si>
  <si>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</si>
  <si>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</si>
  <si>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</si>
  <si>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</si>
  <si>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</si>
  <si>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</si>
  <si>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</si>
  <si>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</si>
  <si>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</si>
  <si>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</si>
  <si>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</si>
  <si>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</si>
  <si>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</si>
  <si>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</si>
  <si>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</si>
  <si>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</si>
  <si>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</si>
  <si>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</si>
  <si>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</si>
  <si>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</si>
  <si>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</si>
  <si>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</si>
  <si>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</si>
  <si>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</si>
  <si>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</si>
  <si>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</si>
  <si>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</si>
  <si>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</si>
  <si>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</si>
  <si>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</si>
  <si>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</si>
  <si>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</si>
  <si>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</si>
  <si>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</si>
  <si>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</si>
  <si>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</si>
  <si>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</si>
  <si>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</si>
  <si>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</si>
  <si>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</si>
  <si>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</si>
  <si>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</si>
  <si>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</si>
  <si>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</si>
  <si>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</si>
  <si>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</si>
  <si>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</si>
  <si>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</si>
  <si>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</si>
  <si>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</si>
  <si>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</si>
  <si>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</si>
  <si>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</si>
  <si>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</si>
  <si>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</si>
  <si>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</si>
  <si>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</si>
  <si>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</si>
  <si>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</si>
  <si>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</si>
  <si>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</si>
  <si>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</si>
  <si>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</si>
  <si>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</si>
  <si>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</si>
  <si>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</si>
  <si>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</si>
  <si>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</si>
  <si>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</si>
  <si>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</si>
  <si>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</si>
  <si>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</si>
  <si>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</si>
  <si>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</si>
  <si>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</si>
  <si>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</si>
  <si>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</si>
  <si>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</si>
  <si>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</si>
  <si>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</si>
  <si>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</si>
  <si>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</si>
  <si>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</si>
  <si>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</si>
  <si>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</si>
  <si>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</si>
  <si>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</si>
  <si>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</si>
  <si>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</si>
  <si>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</si>
  <si>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</si>
  <si>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</si>
  <si>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</si>
  <si>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</si>
  <si>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</si>
  <si>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</si>
  <si>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</si>
  <si>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</si>
  <si>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</si>
  <si>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</si>
  <si>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</si>
  <si>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</si>
  <si>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</si>
  <si>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</si>
  <si>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</si>
  <si>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</si>
  <si>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</si>
  <si>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</si>
  <si>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</si>
  <si>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</si>
  <si>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</si>
  <si>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</si>
  <si>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</si>
  <si>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</si>
  <si>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</si>
  <si>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</si>
  <si>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</si>
  <si>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</si>
  <si>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</si>
  <si>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</si>
  <si>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</si>
  <si>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</si>
  <si>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</si>
  <si>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</si>
  <si>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NAV, Unit Price and Yield as at Week Ended November 17, 2023</t>
  </si>
  <si>
    <t xml:space="preserve">                  113,270.67 </t>
  </si>
  <si>
    <t xml:space="preserve">            113,270.67 </t>
  </si>
  <si>
    <t>Housing Solution Fund</t>
  </si>
  <si>
    <t>Fundco Capital Managers Limited</t>
  </si>
  <si>
    <t>28.9072% </t>
  </si>
  <si>
    <t>Week Ended November 17, 2023</t>
  </si>
  <si>
    <t>WEEKLY VALUATION REPORT OF COLLECTIVE INVESTMENT SCHEMES AS AT WEEK ENDED FRIDAY, NOVEMBER 24, 2023</t>
  </si>
  <si>
    <t>NAV, Unit Price and Yield as at Week Ended November 24, 2023</t>
  </si>
  <si>
    <t>Page Money Market Fund</t>
  </si>
  <si>
    <t>Page Asset Management Limited</t>
  </si>
  <si>
    <t>Week Ended November 24, 2023</t>
  </si>
  <si>
    <t>The chart above shows that Money Market Fund category has 42.96% share of the Aggregate Net Asset Value (NAV), followed by Dollar Fund (Eurobonds and Fixed Income) with 32.27%, Bond/Fixed Income Fund at 14.45%, Real Estate Investment Trust at 4.73%.  Next is Shari'ah Compliant Fund at 2.27%, Balanced Fund at 1.99%, Equity Fund at 1.13% and Ethical Fund at 0.21%.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</si>
</sst>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3" fillId="0" borderId="0" xfId="0" applyFont="1" applyBorder="1"/>
    <xf numFmtId="16" fontId="24" fillId="3" borderId="0" xfId="0" applyNumberFormat="1" applyFont="1" applyFill="1" applyBorder="1"/>
    <xf numFmtId="43" fontId="25" fillId="0" borderId="0" xfId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11" fillId="3" borderId="0" xfId="0" applyNumberFormat="1" applyFont="1" applyFill="1" applyBorder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43" fontId="12" fillId="3" borderId="10" xfId="1" applyFont="1" applyFill="1" applyBorder="1" applyAlignment="1">
      <alignment horizontal="right" vertical="top" wrapText="1"/>
    </xf>
    <xf numFmtId="4" fontId="11" fillId="3" borderId="11" xfId="0" applyNumberFormat="1" applyFont="1" applyFill="1" applyBorder="1"/>
    <xf numFmtId="0" fontId="11" fillId="3" borderId="0" xfId="0" applyFont="1" applyFill="1" applyAlignment="1">
      <alignment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7" fillId="13" borderId="0" xfId="0" applyFont="1" applyFill="1" applyAlignment="1">
      <alignment horizontal="center" wrapText="1"/>
    </xf>
  </cellXfs>
  <cellStyles count="8">
    <cellStyle name="Comma" xfId="1" builtinId="3"/>
    <cellStyle name="Comma 10 13" xfId="3"/>
    <cellStyle name="Comma 2" xfId="7"/>
    <cellStyle name="Comma 3 2" xfId="4"/>
    <cellStyle name="Normal" xfId="0" builtinId="0"/>
    <cellStyle name="Normal 27 2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47137750022627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November 17,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22.858868495366501</c:v>
                </c:pt>
                <c:pt idx="1">
                  <c:v>865.82292411304604</c:v>
                </c:pt>
                <c:pt idx="2">
                  <c:v>298.31777575320899</c:v>
                </c:pt>
                <c:pt idx="3">
                  <c:v>647.35048316859707</c:v>
                </c:pt>
                <c:pt idx="4">
                  <c:v>95.531336334990002</c:v>
                </c:pt>
                <c:pt idx="5" formatCode="_(* #,##0.00_);_(* \(#,##0.00\);_(* &quot;-&quot;??_);_(@_)">
                  <c:v>39.960778727195503</c:v>
                </c:pt>
                <c:pt idx="6">
                  <c:v>3.9726000478899999</c:v>
                </c:pt>
                <c:pt idx="7">
                  <c:v>46.065186177000001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November 24,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22.9178885505649</c:v>
                </c:pt>
                <c:pt idx="1">
                  <c:v>869.35068596734209</c:v>
                </c:pt>
                <c:pt idx="2">
                  <c:v>292.383213255361</c:v>
                </c:pt>
                <c:pt idx="3">
                  <c:v>652.99662337459904</c:v>
                </c:pt>
                <c:pt idx="4">
                  <c:v>95.820553466403197</c:v>
                </c:pt>
                <c:pt idx="5" formatCode="_(* #,##0.00_);_(* \(#,##0.00\);_(* &quot;-&quot;??_);_(@_)">
                  <c:v>40.1860471851911</c:v>
                </c:pt>
                <c:pt idx="6">
                  <c:v>4.2344948158499998</c:v>
                </c:pt>
                <c:pt idx="7">
                  <c:v>45.908361267540002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24TH NOVEMBER, 2023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24-Nov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4234494815.8499999</c:v>
                </c:pt>
                <c:pt idx="1">
                  <c:v>22917888550.564899</c:v>
                </c:pt>
                <c:pt idx="2" formatCode="_(* #,##0.00_);_(* \(#,##0.00\);_(* &quot;-&quot;??_);_(@_)">
                  <c:v>40186047185.191147</c:v>
                </c:pt>
                <c:pt idx="3">
                  <c:v>45908361267.540009</c:v>
                </c:pt>
                <c:pt idx="4">
                  <c:v>95820553466.403229</c:v>
                </c:pt>
                <c:pt idx="5">
                  <c:v>292383213255.36121</c:v>
                </c:pt>
                <c:pt idx="6">
                  <c:v>652996623374.59875</c:v>
                </c:pt>
                <c:pt idx="7">
                  <c:v>869350685967.34192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'NAV Movement'!$C$2:$I$2</c:f>
              <c:numCache>
                <c:formatCode>d\-mmm</c:formatCode>
                <c:ptCount val="7"/>
                <c:pt idx="0">
                  <c:v>45212</c:v>
                </c:pt>
                <c:pt idx="1">
                  <c:v>45219</c:v>
                </c:pt>
                <c:pt idx="2">
                  <c:v>45226</c:v>
                </c:pt>
                <c:pt idx="3">
                  <c:v>45233</c:v>
                </c:pt>
                <c:pt idx="4">
                  <c:v>45240</c:v>
                </c:pt>
                <c:pt idx="5">
                  <c:v>45247</c:v>
                </c:pt>
                <c:pt idx="6">
                  <c:v>45254</c:v>
                </c:pt>
              </c:numCache>
            </c:numRef>
          </c:cat>
          <c:val>
            <c:numRef>
              <c:f>'NAV Movement'!$C$3:$I$3</c:f>
              <c:numCache>
                <c:formatCode>_(* #,##0.00_);_(* \(#,##0.00\);_(* "-"??_);_(@_)</c:formatCode>
                <c:ptCount val="7"/>
                <c:pt idx="0">
                  <c:v>1961229345082.9329</c:v>
                </c:pt>
                <c:pt idx="1">
                  <c:v>2002190167303.2449</c:v>
                </c:pt>
                <c:pt idx="2">
                  <c:v>1992052361749.9485</c:v>
                </c:pt>
                <c:pt idx="3">
                  <c:v>1995029350611.7961</c:v>
                </c:pt>
                <c:pt idx="4">
                  <c:v>2004454649356.7783</c:v>
                </c:pt>
                <c:pt idx="5">
                  <c:v>2019879952817.2942</c:v>
                </c:pt>
                <c:pt idx="6">
                  <c:v>2023797867882.8513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606136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7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39" t="s">
        <v>253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2"/>
    </row>
    <row r="2" spans="1:25" ht="15" customHeight="1">
      <c r="A2" s="1"/>
      <c r="B2" s="1"/>
      <c r="C2" s="1"/>
      <c r="D2" s="145" t="s">
        <v>246</v>
      </c>
      <c r="E2" s="146"/>
      <c r="F2" s="146"/>
      <c r="G2" s="146"/>
      <c r="H2" s="146"/>
      <c r="I2" s="146"/>
      <c r="J2" s="147"/>
      <c r="K2" s="145" t="s">
        <v>254</v>
      </c>
      <c r="L2" s="146"/>
      <c r="M2" s="146"/>
      <c r="N2" s="146"/>
      <c r="O2" s="146"/>
      <c r="P2" s="146"/>
      <c r="Q2" s="147"/>
      <c r="R2" s="145" t="s">
        <v>0</v>
      </c>
      <c r="S2" s="146"/>
      <c r="T2" s="147"/>
      <c r="U2" s="143" t="s">
        <v>1</v>
      </c>
      <c r="V2" s="143"/>
    </row>
    <row r="3" spans="1:25" ht="25.5">
      <c r="A3" s="83" t="s">
        <v>2</v>
      </c>
      <c r="B3" s="77" t="s">
        <v>3</v>
      </c>
      <c r="C3" s="77" t="s">
        <v>4</v>
      </c>
      <c r="D3" s="78" t="s">
        <v>5</v>
      </c>
      <c r="E3" s="79" t="s">
        <v>6</v>
      </c>
      <c r="F3" s="79" t="s">
        <v>7</v>
      </c>
      <c r="G3" s="79" t="s">
        <v>8</v>
      </c>
      <c r="H3" s="79" t="s">
        <v>230</v>
      </c>
      <c r="I3" s="79" t="s">
        <v>9</v>
      </c>
      <c r="J3" s="79" t="s">
        <v>10</v>
      </c>
      <c r="K3" s="80" t="s">
        <v>5</v>
      </c>
      <c r="L3" s="79" t="s">
        <v>6</v>
      </c>
      <c r="M3" s="79" t="s">
        <v>7</v>
      </c>
      <c r="N3" s="79" t="s">
        <v>8</v>
      </c>
      <c r="O3" s="79" t="s">
        <v>230</v>
      </c>
      <c r="P3" s="79" t="s">
        <v>9</v>
      </c>
      <c r="Q3" s="79" t="s">
        <v>10</v>
      </c>
      <c r="R3" s="78" t="s">
        <v>11</v>
      </c>
      <c r="S3" s="79" t="s">
        <v>12</v>
      </c>
      <c r="T3" s="79" t="s">
        <v>236</v>
      </c>
      <c r="U3" s="79" t="s">
        <v>13</v>
      </c>
      <c r="V3" s="79" t="s">
        <v>14</v>
      </c>
    </row>
    <row r="4" spans="1:25" ht="7.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</row>
    <row r="5" spans="1:25" ht="15" customHeight="1">
      <c r="A5" s="136" t="s">
        <v>15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</row>
    <row r="6" spans="1:25">
      <c r="A6" s="123">
        <v>1</v>
      </c>
      <c r="B6" s="120" t="s">
        <v>16</v>
      </c>
      <c r="C6" s="121" t="s">
        <v>17</v>
      </c>
      <c r="D6" s="2">
        <v>722196860.15999997</v>
      </c>
      <c r="E6" s="3">
        <f t="shared" ref="E6:E21" si="0">(D6/$D$22)</f>
        <v>3.1593727410715429E-2</v>
      </c>
      <c r="F6" s="4">
        <v>287.0856</v>
      </c>
      <c r="G6" s="4">
        <v>290.9495</v>
      </c>
      <c r="H6" s="60">
        <v>1725</v>
      </c>
      <c r="I6" s="5">
        <v>5.1000000000000004E-3</v>
      </c>
      <c r="J6" s="5">
        <v>0.52290000000000003</v>
      </c>
      <c r="K6" s="2">
        <v>730301074.57000005</v>
      </c>
      <c r="L6" s="3">
        <f>(K6/$K$22)</f>
        <v>3.1865984205250837E-2</v>
      </c>
      <c r="M6" s="8">
        <v>290.18520000000001</v>
      </c>
      <c r="N6" s="8">
        <v>294.17739999999998</v>
      </c>
      <c r="O6" s="60">
        <v>1725</v>
      </c>
      <c r="P6" s="5">
        <v>1.0800000000000001E-2</v>
      </c>
      <c r="Q6" s="5">
        <v>0.53939999999999999</v>
      </c>
      <c r="R6" s="81">
        <f>((K6-D6)/D6)</f>
        <v>1.1221614018378075E-2</v>
      </c>
      <c r="S6" s="81">
        <f t="shared" ref="S6" si="1">((N6-G6)/G6)</f>
        <v>1.1094365173337561E-2</v>
      </c>
      <c r="T6" s="81">
        <f>((O6-H6)/H6)</f>
        <v>0</v>
      </c>
      <c r="U6" s="82">
        <f>P6-I6</f>
        <v>5.7000000000000002E-3</v>
      </c>
      <c r="V6" s="84">
        <f>Q6-J6</f>
        <v>1.6499999999999959E-2</v>
      </c>
    </row>
    <row r="7" spans="1:25">
      <c r="A7" s="127">
        <v>2</v>
      </c>
      <c r="B7" s="120" t="s">
        <v>18</v>
      </c>
      <c r="C7" s="121" t="s">
        <v>19</v>
      </c>
      <c r="D7" s="4">
        <v>496292862.60000002</v>
      </c>
      <c r="E7" s="3">
        <f t="shared" si="0"/>
        <v>2.17111736173905E-2</v>
      </c>
      <c r="F7" s="4">
        <v>182.07300000000001</v>
      </c>
      <c r="G7" s="4">
        <v>184.4298</v>
      </c>
      <c r="H7" s="60">
        <v>364</v>
      </c>
      <c r="I7" s="5">
        <v>-1.7570000000000001E-3</v>
      </c>
      <c r="J7" s="5">
        <v>0.25609999999999999</v>
      </c>
      <c r="K7" s="4">
        <v>498326458.10000002</v>
      </c>
      <c r="L7" s="3">
        <f t="shared" ref="L7:L21" si="2">(K7/$K$22)</f>
        <v>2.1743995176541551E-2</v>
      </c>
      <c r="M7" s="4">
        <v>182.8357</v>
      </c>
      <c r="N7" s="4">
        <v>185.21199999999999</v>
      </c>
      <c r="O7" s="60">
        <v>368</v>
      </c>
      <c r="P7" s="5">
        <v>5.568E-3</v>
      </c>
      <c r="Q7" s="5">
        <v>0.26140000000000002</v>
      </c>
      <c r="R7" s="81">
        <f t="shared" ref="R7:R22" si="3">((K7-D7)/D7)</f>
        <v>4.0975715212713598E-3</v>
      </c>
      <c r="S7" s="81">
        <f t="shared" ref="S7:S22" si="4">((N7-G7)/G7)</f>
        <v>4.241180112975175E-3</v>
      </c>
      <c r="T7" s="81">
        <f t="shared" ref="T7:T22" si="5">((O7-H7)/H7)</f>
        <v>1.098901098901099E-2</v>
      </c>
      <c r="U7" s="82">
        <f t="shared" ref="U7:U22" si="6">P7-I7</f>
        <v>7.3249999999999999E-3</v>
      </c>
      <c r="V7" s="84">
        <f t="shared" ref="V7:V22" si="7">Q7-J7</f>
        <v>5.3000000000000269E-3</v>
      </c>
    </row>
    <row r="8" spans="1:25">
      <c r="A8" s="123">
        <v>3</v>
      </c>
      <c r="B8" s="120" t="s">
        <v>20</v>
      </c>
      <c r="C8" s="121" t="s">
        <v>21</v>
      </c>
      <c r="D8" s="4">
        <v>3185144435.21</v>
      </c>
      <c r="E8" s="3">
        <f t="shared" si="0"/>
        <v>0.13933954936814261</v>
      </c>
      <c r="F8" s="4">
        <v>29.4405</v>
      </c>
      <c r="G8" s="4">
        <v>30.328099999999999</v>
      </c>
      <c r="H8" s="62">
        <v>6334</v>
      </c>
      <c r="I8" s="6">
        <v>0.22239999999999999</v>
      </c>
      <c r="J8" s="6">
        <v>0.37330000000000002</v>
      </c>
      <c r="K8" s="4">
        <v>3193696354.3899999</v>
      </c>
      <c r="L8" s="3">
        <f t="shared" si="2"/>
        <v>0.13935386531545371</v>
      </c>
      <c r="M8" s="4">
        <v>29.485600000000002</v>
      </c>
      <c r="N8" s="4">
        <v>30.374600000000001</v>
      </c>
      <c r="O8" s="62">
        <v>6334</v>
      </c>
      <c r="P8" s="6">
        <v>7.9899999999999999E-2</v>
      </c>
      <c r="Q8" s="6">
        <v>0.36759999999999998</v>
      </c>
      <c r="R8" s="81">
        <f t="shared" si="3"/>
        <v>2.6849392088669883E-3</v>
      </c>
      <c r="S8" s="81">
        <f t="shared" si="4"/>
        <v>1.5332315575325116E-3</v>
      </c>
      <c r="T8" s="81">
        <f t="shared" si="5"/>
        <v>0</v>
      </c>
      <c r="U8" s="82">
        <f t="shared" si="6"/>
        <v>-0.14249999999999999</v>
      </c>
      <c r="V8" s="84">
        <f t="shared" si="7"/>
        <v>-5.7000000000000384E-3</v>
      </c>
      <c r="X8" s="107"/>
      <c r="Y8" s="107"/>
    </row>
    <row r="9" spans="1:25">
      <c r="A9" s="127">
        <v>4</v>
      </c>
      <c r="B9" s="120" t="s">
        <v>22</v>
      </c>
      <c r="C9" s="121" t="s">
        <v>23</v>
      </c>
      <c r="D9" s="4">
        <v>460279889.23000002</v>
      </c>
      <c r="E9" s="3">
        <f t="shared" si="0"/>
        <v>2.0135724973582961E-2</v>
      </c>
      <c r="F9" s="4">
        <v>191.5</v>
      </c>
      <c r="G9" s="4">
        <v>191.5</v>
      </c>
      <c r="H9" s="60">
        <v>1685</v>
      </c>
      <c r="I9" s="5">
        <v>-1.4E-3</v>
      </c>
      <c r="J9" s="5">
        <v>0.40229999999999999</v>
      </c>
      <c r="K9" s="4">
        <v>454424670.95999998</v>
      </c>
      <c r="L9" s="3">
        <f t="shared" si="2"/>
        <v>1.9828382966318201E-2</v>
      </c>
      <c r="M9" s="4">
        <v>192.66</v>
      </c>
      <c r="N9" s="4">
        <v>192.66</v>
      </c>
      <c r="O9" s="60">
        <v>1689</v>
      </c>
      <c r="P9" s="5">
        <v>6.1000000000000004E-3</v>
      </c>
      <c r="Q9" s="5">
        <v>0.4108</v>
      </c>
      <c r="R9" s="81">
        <f t="shared" si="3"/>
        <v>-1.2720995218355523E-2</v>
      </c>
      <c r="S9" s="81">
        <f t="shared" si="4"/>
        <v>6.0574412532636897E-3</v>
      </c>
      <c r="T9" s="81">
        <f t="shared" si="5"/>
        <v>2.373887240356083E-3</v>
      </c>
      <c r="U9" s="82">
        <f t="shared" si="6"/>
        <v>7.5000000000000006E-3</v>
      </c>
      <c r="V9" s="84">
        <f t="shared" si="7"/>
        <v>8.5000000000000075E-3</v>
      </c>
    </row>
    <row r="10" spans="1:25">
      <c r="A10" s="125">
        <v>5</v>
      </c>
      <c r="B10" s="120" t="s">
        <v>24</v>
      </c>
      <c r="C10" s="121" t="s">
        <v>25</v>
      </c>
      <c r="D10" s="7">
        <v>124009492.04000001</v>
      </c>
      <c r="E10" s="3">
        <f t="shared" si="0"/>
        <v>5.4250057068720072E-3</v>
      </c>
      <c r="F10" s="4">
        <v>132.20150000000001</v>
      </c>
      <c r="G10" s="4">
        <v>132.983</v>
      </c>
      <c r="H10" s="62">
        <v>58</v>
      </c>
      <c r="I10" s="6">
        <v>1.0219999999999999E-3</v>
      </c>
      <c r="J10" s="6">
        <v>0.25840000000000002</v>
      </c>
      <c r="K10" s="7">
        <v>123183588.93000001</v>
      </c>
      <c r="L10" s="3">
        <f t="shared" si="2"/>
        <v>5.3749972934118168E-3</v>
      </c>
      <c r="M10" s="4">
        <v>132.4161</v>
      </c>
      <c r="N10" s="4">
        <v>133.2055</v>
      </c>
      <c r="O10" s="62">
        <v>58</v>
      </c>
      <c r="P10" s="6">
        <v>1.3299999999999999E-2</v>
      </c>
      <c r="Q10" s="6">
        <v>0.2606</v>
      </c>
      <c r="R10" s="81">
        <f t="shared" si="3"/>
        <v>-6.6599991372724874E-3</v>
      </c>
      <c r="S10" s="81">
        <f t="shared" si="4"/>
        <v>1.6731461916184519E-3</v>
      </c>
      <c r="T10" s="81">
        <f t="shared" si="5"/>
        <v>0</v>
      </c>
      <c r="U10" s="82">
        <f t="shared" si="6"/>
        <v>1.2277999999999999E-2</v>
      </c>
      <c r="V10" s="84">
        <f t="shared" si="7"/>
        <v>2.1999999999999797E-3</v>
      </c>
    </row>
    <row r="11" spans="1:25">
      <c r="A11" s="126">
        <v>6</v>
      </c>
      <c r="B11" s="120" t="s">
        <v>26</v>
      </c>
      <c r="C11" s="121" t="s">
        <v>27</v>
      </c>
      <c r="D11" s="4">
        <v>743686130.17999995</v>
      </c>
      <c r="E11" s="3">
        <f t="shared" si="0"/>
        <v>3.2533812000832212E-2</v>
      </c>
      <c r="F11" s="4">
        <v>232.62</v>
      </c>
      <c r="G11" s="4">
        <v>235.56</v>
      </c>
      <c r="H11" s="62">
        <v>1572</v>
      </c>
      <c r="I11" s="6">
        <v>7.7999999999999996E-3</v>
      </c>
      <c r="J11" s="6">
        <v>0.54059999999999997</v>
      </c>
      <c r="K11" s="4">
        <v>771352874.01999998</v>
      </c>
      <c r="L11" s="3">
        <f t="shared" si="2"/>
        <v>3.3657239946783275E-2</v>
      </c>
      <c r="M11" s="4">
        <v>233.89</v>
      </c>
      <c r="N11" s="4">
        <v>236.76</v>
      </c>
      <c r="O11" s="62">
        <v>1577</v>
      </c>
      <c r="P11" s="6">
        <v>5.3E-3</v>
      </c>
      <c r="Q11" s="6">
        <v>0.54830000000000001</v>
      </c>
      <c r="R11" s="81">
        <f t="shared" si="3"/>
        <v>3.7202178065770357E-2</v>
      </c>
      <c r="S11" s="81">
        <f t="shared" si="4"/>
        <v>5.0942435048394828E-3</v>
      </c>
      <c r="T11" s="81">
        <f t="shared" si="5"/>
        <v>3.1806615776081423E-3</v>
      </c>
      <c r="U11" s="82">
        <f t="shared" si="6"/>
        <v>-2.4999999999999996E-3</v>
      </c>
      <c r="V11" s="84">
        <f t="shared" si="7"/>
        <v>7.7000000000000401E-3</v>
      </c>
    </row>
    <row r="12" spans="1:25">
      <c r="A12" s="129">
        <v>7</v>
      </c>
      <c r="B12" s="120" t="s">
        <v>28</v>
      </c>
      <c r="C12" s="121" t="s">
        <v>29</v>
      </c>
      <c r="D12" s="2">
        <v>295810536.51999998</v>
      </c>
      <c r="E12" s="3">
        <f t="shared" si="0"/>
        <v>1.2940733990396806E-2</v>
      </c>
      <c r="F12" s="4">
        <v>148.80000000000001</v>
      </c>
      <c r="G12" s="4">
        <v>153.46</v>
      </c>
      <c r="H12" s="60">
        <v>2379</v>
      </c>
      <c r="I12" s="5">
        <v>9.0189999999999992E-3</v>
      </c>
      <c r="J12" s="5">
        <v>0.18368000000000001</v>
      </c>
      <c r="K12" s="2">
        <v>301420326.99000001</v>
      </c>
      <c r="L12" s="3">
        <f t="shared" si="2"/>
        <v>1.3152185740189854E-2</v>
      </c>
      <c r="M12" s="4">
        <v>151.6</v>
      </c>
      <c r="N12" s="4">
        <v>156.32</v>
      </c>
      <c r="O12" s="60">
        <v>2379</v>
      </c>
      <c r="P12" s="5">
        <v>1.89E-2</v>
      </c>
      <c r="Q12" s="5">
        <v>0.20610000000000001</v>
      </c>
      <c r="R12" s="81">
        <f t="shared" si="3"/>
        <v>1.8964133380761933E-2</v>
      </c>
      <c r="S12" s="81">
        <f t="shared" si="4"/>
        <v>1.8636778313566957E-2</v>
      </c>
      <c r="T12" s="81">
        <f t="shared" si="5"/>
        <v>0</v>
      </c>
      <c r="U12" s="82">
        <f t="shared" si="6"/>
        <v>9.8810000000000009E-3</v>
      </c>
      <c r="V12" s="84">
        <f t="shared" si="7"/>
        <v>2.2419999999999995E-2</v>
      </c>
    </row>
    <row r="13" spans="1:25">
      <c r="A13" s="129">
        <v>8</v>
      </c>
      <c r="B13" s="120" t="s">
        <v>30</v>
      </c>
      <c r="C13" s="121" t="s">
        <v>31</v>
      </c>
      <c r="D13" s="7">
        <v>43900628.119999997</v>
      </c>
      <c r="E13" s="3">
        <f t="shared" si="0"/>
        <v>1.920507488325534E-3</v>
      </c>
      <c r="F13" s="4">
        <v>170.65</v>
      </c>
      <c r="G13" s="4">
        <v>175.96</v>
      </c>
      <c r="H13" s="60">
        <v>4</v>
      </c>
      <c r="I13" s="5">
        <v>2.41E-2</v>
      </c>
      <c r="J13" s="5">
        <v>0.76400000000000001</v>
      </c>
      <c r="K13" s="7">
        <v>45668093.939999998</v>
      </c>
      <c r="L13" s="3">
        <f t="shared" si="2"/>
        <v>1.9926833067208686E-3</v>
      </c>
      <c r="M13" s="4">
        <v>177.5</v>
      </c>
      <c r="N13" s="4">
        <v>183.06</v>
      </c>
      <c r="O13" s="60">
        <v>4</v>
      </c>
      <c r="P13" s="5">
        <v>3.1699999999999999E-2</v>
      </c>
      <c r="Q13" s="5">
        <v>0.81140000000000001</v>
      </c>
      <c r="R13" s="81">
        <f t="shared" si="3"/>
        <v>4.0260604362396091E-2</v>
      </c>
      <c r="S13" s="81">
        <f t="shared" si="4"/>
        <v>4.0350079563537131E-2</v>
      </c>
      <c r="T13" s="81">
        <f t="shared" si="5"/>
        <v>0</v>
      </c>
      <c r="U13" s="82">
        <f t="shared" si="6"/>
        <v>7.5999999999999991E-3</v>
      </c>
      <c r="V13" s="84">
        <f t="shared" si="7"/>
        <v>4.7399999999999998E-2</v>
      </c>
    </row>
    <row r="14" spans="1:25" ht="14.25" customHeight="1">
      <c r="A14" s="125">
        <v>9</v>
      </c>
      <c r="B14" s="120" t="s">
        <v>239</v>
      </c>
      <c r="C14" s="121" t="s">
        <v>32</v>
      </c>
      <c r="D14" s="2">
        <v>532424544.68650001</v>
      </c>
      <c r="E14" s="3">
        <f t="shared" si="0"/>
        <v>2.3291815375482063E-2</v>
      </c>
      <c r="F14" s="4">
        <v>1.6254</v>
      </c>
      <c r="G14" s="4">
        <v>1.6733</v>
      </c>
      <c r="H14" s="60">
        <v>350</v>
      </c>
      <c r="I14" s="5">
        <v>5.5999999999999999E-3</v>
      </c>
      <c r="J14" s="5">
        <v>0.30990000000000001</v>
      </c>
      <c r="K14" s="2">
        <v>512732028.39490002</v>
      </c>
      <c r="L14" s="3">
        <f t="shared" si="2"/>
        <v>2.2372568365695355E-2</v>
      </c>
      <c r="M14" s="4">
        <v>1.6048</v>
      </c>
      <c r="N14" s="4">
        <v>1.6556999999999999</v>
      </c>
      <c r="O14" s="60">
        <v>355</v>
      </c>
      <c r="P14" s="5">
        <v>-1.2673803371477721E-2</v>
      </c>
      <c r="Q14" s="5">
        <v>0.30985574985897335</v>
      </c>
      <c r="R14" s="81">
        <f t="shared" si="3"/>
        <v>-3.6986492242192276E-2</v>
      </c>
      <c r="S14" s="81">
        <f t="shared" si="4"/>
        <v>-1.0518137811510226E-2</v>
      </c>
      <c r="T14" s="81">
        <f t="shared" si="5"/>
        <v>1.4285714285714285E-2</v>
      </c>
      <c r="U14" s="82">
        <f t="shared" si="6"/>
        <v>-1.8273803371477722E-2</v>
      </c>
      <c r="V14" s="84">
        <f t="shared" si="7"/>
        <v>-4.4250141026658252E-5</v>
      </c>
    </row>
    <row r="15" spans="1:25">
      <c r="A15" s="125">
        <v>10</v>
      </c>
      <c r="B15" s="120" t="s">
        <v>33</v>
      </c>
      <c r="C15" s="121" t="s">
        <v>34</v>
      </c>
      <c r="D15" s="2">
        <v>1302545475.1099999</v>
      </c>
      <c r="E15" s="3">
        <f t="shared" si="0"/>
        <v>5.6982062579957804E-2</v>
      </c>
      <c r="F15" s="4">
        <v>2.02</v>
      </c>
      <c r="G15" s="4">
        <v>2.17</v>
      </c>
      <c r="H15" s="60">
        <v>3671</v>
      </c>
      <c r="I15" s="5">
        <v>0.23219999999999999</v>
      </c>
      <c r="J15" s="5">
        <v>0.32479999999999998</v>
      </c>
      <c r="K15" s="2">
        <v>1311788060.24</v>
      </c>
      <c r="L15" s="3">
        <f t="shared" si="2"/>
        <v>5.7238608929689815E-2</v>
      </c>
      <c r="M15" s="4">
        <v>2.64</v>
      </c>
      <c r="N15" s="4">
        <v>2.69</v>
      </c>
      <c r="O15" s="60">
        <v>3672</v>
      </c>
      <c r="P15" s="5">
        <v>0.24099999999999999</v>
      </c>
      <c r="Q15" s="5">
        <v>0.3342</v>
      </c>
      <c r="R15" s="81">
        <f t="shared" si="3"/>
        <v>7.0957869084912976E-3</v>
      </c>
      <c r="S15" s="81">
        <f t="shared" si="4"/>
        <v>0.23963133640552997</v>
      </c>
      <c r="T15" s="81">
        <f t="shared" si="5"/>
        <v>2.7240533914464724E-4</v>
      </c>
      <c r="U15" s="82">
        <f t="shared" si="6"/>
        <v>8.8000000000000023E-3</v>
      </c>
      <c r="V15" s="84">
        <f t="shared" si="7"/>
        <v>9.4000000000000195E-3</v>
      </c>
    </row>
    <row r="16" spans="1:25">
      <c r="A16" s="126">
        <v>11</v>
      </c>
      <c r="B16" s="120" t="s">
        <v>35</v>
      </c>
      <c r="C16" s="121" t="s">
        <v>36</v>
      </c>
      <c r="D16" s="4">
        <v>447795532.50999999</v>
      </c>
      <c r="E16" s="3">
        <f t="shared" si="0"/>
        <v>1.9589575599543271E-2</v>
      </c>
      <c r="F16" s="4">
        <v>16.954972999999999</v>
      </c>
      <c r="G16" s="4">
        <v>17.088114999999998</v>
      </c>
      <c r="H16" s="60">
        <v>255</v>
      </c>
      <c r="I16" s="5">
        <v>8.5630740171072084E-3</v>
      </c>
      <c r="J16" s="5">
        <v>0.45186895559077533</v>
      </c>
      <c r="K16" s="4">
        <v>467708333.05000001</v>
      </c>
      <c r="L16" s="3">
        <f t="shared" si="2"/>
        <v>2.040800277120082E-2</v>
      </c>
      <c r="M16" s="4">
        <v>17.11599</v>
      </c>
      <c r="N16" s="4">
        <v>17.251169999999998</v>
      </c>
      <c r="O16" s="60">
        <v>258</v>
      </c>
      <c r="P16" s="5">
        <v>9.4967417524050024E-3</v>
      </c>
      <c r="Q16" s="5">
        <v>0.46488905779991585</v>
      </c>
      <c r="R16" s="81">
        <f t="shared" si="3"/>
        <v>4.446851094825368E-2</v>
      </c>
      <c r="S16" s="81">
        <f t="shared" si="4"/>
        <v>9.5420120943708522E-3</v>
      </c>
      <c r="T16" s="81">
        <f t="shared" si="5"/>
        <v>1.1764705882352941E-2</v>
      </c>
      <c r="U16" s="82">
        <f t="shared" si="6"/>
        <v>9.3366773529779401E-4</v>
      </c>
      <c r="V16" s="84">
        <f t="shared" si="7"/>
        <v>1.3020102209140516E-2</v>
      </c>
    </row>
    <row r="17" spans="1:22">
      <c r="A17" s="124">
        <v>12</v>
      </c>
      <c r="B17" s="120" t="s">
        <v>37</v>
      </c>
      <c r="C17" s="121" t="s">
        <v>38</v>
      </c>
      <c r="D17" s="4">
        <v>326994624.36000001</v>
      </c>
      <c r="E17" s="3">
        <f t="shared" si="0"/>
        <v>1.4304934840772277E-2</v>
      </c>
      <c r="F17" s="4">
        <v>2.36</v>
      </c>
      <c r="G17" s="4">
        <v>2.36</v>
      </c>
      <c r="H17" s="60">
        <v>16</v>
      </c>
      <c r="I17" s="5">
        <v>1.8E-3</v>
      </c>
      <c r="J17" s="5">
        <v>0.65610000000000002</v>
      </c>
      <c r="K17" s="4">
        <v>288868747.89999998</v>
      </c>
      <c r="L17" s="3">
        <f t="shared" si="2"/>
        <v>1.2604509672112865E-2</v>
      </c>
      <c r="M17" s="4">
        <v>2.081302</v>
      </c>
      <c r="N17" s="4">
        <v>2.105369</v>
      </c>
      <c r="O17" s="60">
        <v>16</v>
      </c>
      <c r="P17" s="5">
        <v>1.2999999999999999E-3</v>
      </c>
      <c r="Q17" s="5">
        <v>0.46389999999999998</v>
      </c>
      <c r="R17" s="81">
        <f t="shared" si="3"/>
        <v>-0.11659481110620921</v>
      </c>
      <c r="S17" s="81">
        <f t="shared" si="4"/>
        <v>-0.10789449152542366</v>
      </c>
      <c r="T17" s="81">
        <f t="shared" si="5"/>
        <v>0</v>
      </c>
      <c r="U17" s="82">
        <f t="shared" si="6"/>
        <v>-5.0000000000000001E-4</v>
      </c>
      <c r="V17" s="84">
        <f t="shared" si="7"/>
        <v>-0.19220000000000004</v>
      </c>
    </row>
    <row r="18" spans="1:22">
      <c r="A18" s="129">
        <v>13</v>
      </c>
      <c r="B18" s="120" t="s">
        <v>39</v>
      </c>
      <c r="C18" s="121" t="s">
        <v>40</v>
      </c>
      <c r="D18" s="2">
        <v>1012464960.8</v>
      </c>
      <c r="E18" s="3">
        <f t="shared" si="0"/>
        <v>4.4291998136531861E-2</v>
      </c>
      <c r="F18" s="4">
        <v>24.79</v>
      </c>
      <c r="G18" s="4">
        <v>25.29</v>
      </c>
      <c r="H18" s="60">
        <v>8863</v>
      </c>
      <c r="I18" s="5">
        <v>-4.8999999999999998E-3</v>
      </c>
      <c r="J18" s="5">
        <v>0.41539999999999999</v>
      </c>
      <c r="K18" s="2">
        <v>1020995639.6799999</v>
      </c>
      <c r="L18" s="3">
        <f t="shared" si="2"/>
        <v>4.455016165330089E-2</v>
      </c>
      <c r="M18" s="4">
        <v>24.9</v>
      </c>
      <c r="N18" s="4">
        <v>25.41</v>
      </c>
      <c r="O18" s="60">
        <v>8863</v>
      </c>
      <c r="P18" s="5">
        <v>6.7000000000000002E-3</v>
      </c>
      <c r="Q18" s="5">
        <v>0.42659999999999998</v>
      </c>
      <c r="R18" s="81">
        <f t="shared" si="3"/>
        <v>8.4256534401540902E-3</v>
      </c>
      <c r="S18" s="81">
        <f t="shared" si="4"/>
        <v>4.7449584816133253E-3</v>
      </c>
      <c r="T18" s="81">
        <f t="shared" si="5"/>
        <v>0</v>
      </c>
      <c r="U18" s="82">
        <f t="shared" si="6"/>
        <v>1.1599999999999999E-2</v>
      </c>
      <c r="V18" s="84">
        <f t="shared" si="7"/>
        <v>1.1199999999999988E-2</v>
      </c>
    </row>
    <row r="19" spans="1:22" ht="12.75" customHeight="1">
      <c r="A19" s="129">
        <v>14</v>
      </c>
      <c r="B19" s="120" t="s">
        <v>41</v>
      </c>
      <c r="C19" s="121" t="s">
        <v>42</v>
      </c>
      <c r="D19" s="2">
        <v>517848741.80000001</v>
      </c>
      <c r="E19" s="3">
        <f t="shared" si="0"/>
        <v>2.2654172139140137E-2</v>
      </c>
      <c r="F19" s="4">
        <v>5053.95</v>
      </c>
      <c r="G19" s="4">
        <v>5116.72</v>
      </c>
      <c r="H19" s="60">
        <v>1135</v>
      </c>
      <c r="I19" s="5">
        <v>1.1999999999999999E-3</v>
      </c>
      <c r="J19" s="5">
        <v>0.56269999999999998</v>
      </c>
      <c r="K19" s="2">
        <v>519492919.39999998</v>
      </c>
      <c r="L19" s="3">
        <f t="shared" si="2"/>
        <v>2.2667573334856587E-2</v>
      </c>
      <c r="M19" s="4">
        <v>5069.9799999999996</v>
      </c>
      <c r="N19" s="4">
        <v>5132.97</v>
      </c>
      <c r="O19" s="60">
        <v>1135</v>
      </c>
      <c r="P19" s="5">
        <v>3.2000000000000002E-3</v>
      </c>
      <c r="Q19" s="5">
        <v>0.56769999999999998</v>
      </c>
      <c r="R19" s="81">
        <f t="shared" si="3"/>
        <v>3.1750151487960304E-3</v>
      </c>
      <c r="S19" s="81">
        <f t="shared" si="4"/>
        <v>3.1758626620178548E-3</v>
      </c>
      <c r="T19" s="81">
        <f t="shared" si="5"/>
        <v>0</v>
      </c>
      <c r="U19" s="82">
        <f t="shared" si="6"/>
        <v>2E-3</v>
      </c>
      <c r="V19" s="84">
        <f t="shared" si="7"/>
        <v>5.0000000000000044E-3</v>
      </c>
    </row>
    <row r="20" spans="1:22">
      <c r="A20" s="129">
        <v>15</v>
      </c>
      <c r="B20" s="120" t="s">
        <v>43</v>
      </c>
      <c r="C20" s="121" t="s">
        <v>42</v>
      </c>
      <c r="D20" s="4">
        <v>10100777050.290001</v>
      </c>
      <c r="E20" s="3">
        <f t="shared" si="0"/>
        <v>0.44187563581012029</v>
      </c>
      <c r="F20" s="4">
        <v>17287.32</v>
      </c>
      <c r="G20" s="4">
        <v>17500.060000000001</v>
      </c>
      <c r="H20" s="60">
        <v>29421</v>
      </c>
      <c r="I20" s="5">
        <v>-5.0000000000000001E-4</v>
      </c>
      <c r="J20" s="5">
        <v>0.41449999999999998</v>
      </c>
      <c r="K20" s="4">
        <v>10110828471.290001</v>
      </c>
      <c r="L20" s="3">
        <f t="shared" si="2"/>
        <v>0.44117626495049783</v>
      </c>
      <c r="M20" s="4">
        <v>17344.080000000002</v>
      </c>
      <c r="N20" s="4">
        <v>17558.23</v>
      </c>
      <c r="O20" s="60">
        <v>29430</v>
      </c>
      <c r="P20" s="5">
        <v>3.3E-3</v>
      </c>
      <c r="Q20" s="5">
        <v>0.41920000000000002</v>
      </c>
      <c r="R20" s="81">
        <f t="shared" si="3"/>
        <v>9.9511363828304832E-4</v>
      </c>
      <c r="S20" s="81">
        <f t="shared" si="4"/>
        <v>3.3239886034675454E-3</v>
      </c>
      <c r="T20" s="81">
        <f t="shared" si="5"/>
        <v>3.0590394616090549E-4</v>
      </c>
      <c r="U20" s="82">
        <f t="shared" si="6"/>
        <v>3.8E-3</v>
      </c>
      <c r="V20" s="84">
        <f t="shared" si="7"/>
        <v>4.7000000000000375E-3</v>
      </c>
    </row>
    <row r="21" spans="1:22">
      <c r="A21" s="124">
        <v>16</v>
      </c>
      <c r="B21" s="121" t="s">
        <v>44</v>
      </c>
      <c r="C21" s="121" t="s">
        <v>45</v>
      </c>
      <c r="D21" s="4">
        <v>2546696731.75</v>
      </c>
      <c r="E21" s="3">
        <f t="shared" si="0"/>
        <v>0.11140957096219423</v>
      </c>
      <c r="F21" s="4">
        <v>1.2567999999999999</v>
      </c>
      <c r="G21" s="8">
        <v>1.2690999999999999</v>
      </c>
      <c r="H21" s="60">
        <v>3451</v>
      </c>
      <c r="I21" s="5">
        <v>-1.4E-3</v>
      </c>
      <c r="J21" s="5">
        <v>0.3765</v>
      </c>
      <c r="K21" s="4">
        <v>2567100908.71</v>
      </c>
      <c r="L21" s="3">
        <f t="shared" si="2"/>
        <v>0.11201297637197577</v>
      </c>
      <c r="M21" s="4">
        <v>1.2605999999999999</v>
      </c>
      <c r="N21" s="8">
        <v>1.2734000000000001</v>
      </c>
      <c r="O21" s="60">
        <v>3463</v>
      </c>
      <c r="P21" s="5">
        <v>3.0000000000000001E-3</v>
      </c>
      <c r="Q21" s="5">
        <v>0.3805</v>
      </c>
      <c r="R21" s="81">
        <f t="shared" si="3"/>
        <v>8.0120167845737205E-3</v>
      </c>
      <c r="S21" s="81">
        <f t="shared" si="4"/>
        <v>3.3882278780239484E-3</v>
      </c>
      <c r="T21" s="81">
        <f t="shared" si="5"/>
        <v>3.4772529701535787E-3</v>
      </c>
      <c r="U21" s="82">
        <f t="shared" si="6"/>
        <v>4.4000000000000003E-3</v>
      </c>
      <c r="V21" s="84">
        <f t="shared" si="7"/>
        <v>4.0000000000000036E-3</v>
      </c>
    </row>
    <row r="22" spans="1:22">
      <c r="A22" s="76"/>
      <c r="B22" s="19"/>
      <c r="C22" s="72" t="s">
        <v>46</v>
      </c>
      <c r="D22" s="58">
        <f>SUM(D6:D21)</f>
        <v>22858868495.366501</v>
      </c>
      <c r="E22" s="105">
        <f>(D22/$D$176)</f>
        <v>1.1316944090406631E-2</v>
      </c>
      <c r="F22" s="30"/>
      <c r="G22" s="31"/>
      <c r="H22" s="66">
        <f>SUM(H6:H21)</f>
        <v>61283</v>
      </c>
      <c r="I22" s="28"/>
      <c r="J22" s="60">
        <v>0</v>
      </c>
      <c r="K22" s="58">
        <f>SUM(K6:K21)</f>
        <v>22917888550.564899</v>
      </c>
      <c r="L22" s="105">
        <f>(K22/$K$176)</f>
        <v>1.1324198386739042E-2</v>
      </c>
      <c r="M22" s="30"/>
      <c r="N22" s="31"/>
      <c r="O22" s="66">
        <f>SUM(O6:O21)</f>
        <v>61326</v>
      </c>
      <c r="P22" s="28"/>
      <c r="Q22" s="66"/>
      <c r="R22" s="81">
        <f t="shared" si="3"/>
        <v>2.58193248761906E-3</v>
      </c>
      <c r="S22" s="81" t="e">
        <f t="shared" si="4"/>
        <v>#DIV/0!</v>
      </c>
      <c r="T22" s="81">
        <f t="shared" si="5"/>
        <v>7.0166277760553501E-4</v>
      </c>
      <c r="U22" s="82">
        <f t="shared" si="6"/>
        <v>0</v>
      </c>
      <c r="V22" s="84">
        <f t="shared" si="7"/>
        <v>0</v>
      </c>
    </row>
    <row r="23" spans="1:22" ht="9" customHeight="1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</row>
    <row r="24" spans="1:22" ht="15" customHeight="1">
      <c r="A24" s="136" t="s">
        <v>47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</row>
    <row r="25" spans="1:22">
      <c r="A25" s="123">
        <v>17</v>
      </c>
      <c r="B25" s="120" t="s">
        <v>48</v>
      </c>
      <c r="C25" s="121" t="s">
        <v>17</v>
      </c>
      <c r="D25" s="9">
        <v>900102769.05999994</v>
      </c>
      <c r="E25" s="3">
        <f>(D25/$K$55)</f>
        <v>1.0353736226232336E-3</v>
      </c>
      <c r="F25" s="8">
        <v>100</v>
      </c>
      <c r="G25" s="8">
        <v>100</v>
      </c>
      <c r="H25" s="60">
        <v>741</v>
      </c>
      <c r="I25" s="5">
        <v>9.2499999999999999E-2</v>
      </c>
      <c r="J25" s="5">
        <v>9.2499999999999999E-2</v>
      </c>
      <c r="K25" s="9">
        <v>910714855.48000002</v>
      </c>
      <c r="L25" s="3">
        <f t="shared" ref="L25:L54" si="8">(K25/$K$55)</f>
        <v>1.0475805335871237E-3</v>
      </c>
      <c r="M25" s="8">
        <v>100</v>
      </c>
      <c r="N25" s="8">
        <v>100</v>
      </c>
      <c r="O25" s="60">
        <v>741</v>
      </c>
      <c r="P25" s="5">
        <v>9.1200000000000003E-2</v>
      </c>
      <c r="Q25" s="5">
        <v>9.1200000000000003E-2</v>
      </c>
      <c r="R25" s="81">
        <f t="shared" ref="R25" si="9">((K25-D25)/D25)</f>
        <v>1.1789860874533856E-2</v>
      </c>
      <c r="S25" s="81">
        <f t="shared" ref="S25" si="10">((N25-G25)/G25)</f>
        <v>0</v>
      </c>
      <c r="T25" s="81">
        <f t="shared" ref="T25" si="11">((O25-H25)/H25)</f>
        <v>0</v>
      </c>
      <c r="U25" s="82">
        <f t="shared" ref="U25" si="12">P25-I25</f>
        <v>-1.2999999999999956E-3</v>
      </c>
      <c r="V25" s="84">
        <f t="shared" ref="V25" si="13">Q25-J25</f>
        <v>-1.2999999999999956E-3</v>
      </c>
    </row>
    <row r="26" spans="1:22">
      <c r="A26" s="123">
        <v>18</v>
      </c>
      <c r="B26" s="120" t="s">
        <v>49</v>
      </c>
      <c r="C26" s="121" t="s">
        <v>50</v>
      </c>
      <c r="D26" s="9">
        <v>4252783351.1900001</v>
      </c>
      <c r="E26" s="3">
        <f t="shared" ref="E26:E54" si="14">(D26/$K$55)</f>
        <v>4.8919077419923495E-3</v>
      </c>
      <c r="F26" s="8">
        <v>100</v>
      </c>
      <c r="G26" s="8">
        <v>100</v>
      </c>
      <c r="H26" s="60">
        <v>1152</v>
      </c>
      <c r="I26" s="5">
        <v>0.136738</v>
      </c>
      <c r="J26" s="5">
        <v>0.136738</v>
      </c>
      <c r="K26" s="9">
        <v>4318581137.4099998</v>
      </c>
      <c r="L26" s="3">
        <f t="shared" si="8"/>
        <v>4.967593868755781E-3</v>
      </c>
      <c r="M26" s="8">
        <v>100</v>
      </c>
      <c r="N26" s="8">
        <v>100</v>
      </c>
      <c r="O26" s="60">
        <v>1149</v>
      </c>
      <c r="P26" s="5">
        <v>0.13505200000000001</v>
      </c>
      <c r="Q26" s="5">
        <v>0.13505200000000001</v>
      </c>
      <c r="R26" s="81">
        <f t="shared" ref="R26:R55" si="15">((K26-D26)/D26)</f>
        <v>1.5471699540393579E-2</v>
      </c>
      <c r="S26" s="81">
        <f t="shared" ref="S26:S55" si="16">((N26-G26)/G26)</f>
        <v>0</v>
      </c>
      <c r="T26" s="81">
        <f t="shared" ref="T26:T55" si="17">((O26-H26)/H26)</f>
        <v>-2.6041666666666665E-3</v>
      </c>
      <c r="U26" s="82">
        <f t="shared" ref="U26:U55" si="18">P26-I26</f>
        <v>-1.6859999999999931E-3</v>
      </c>
      <c r="V26" s="84">
        <f t="shared" ref="V26:V55" si="19">Q26-J26</f>
        <v>-1.6859999999999931E-3</v>
      </c>
    </row>
    <row r="27" spans="1:22">
      <c r="A27" s="127">
        <v>19</v>
      </c>
      <c r="B27" s="120" t="s">
        <v>51</v>
      </c>
      <c r="C27" s="121" t="s">
        <v>19</v>
      </c>
      <c r="D27" s="9">
        <v>388922210.76999998</v>
      </c>
      <c r="E27" s="3">
        <f t="shared" si="14"/>
        <v>4.4737091377254661E-4</v>
      </c>
      <c r="F27" s="8">
        <v>100</v>
      </c>
      <c r="G27" s="8">
        <v>100</v>
      </c>
      <c r="H27" s="60">
        <v>1324</v>
      </c>
      <c r="I27" s="5">
        <v>9.3799999999999994E-2</v>
      </c>
      <c r="J27" s="5">
        <v>9.3799999999999994E-2</v>
      </c>
      <c r="K27" s="9">
        <v>390105124.33999997</v>
      </c>
      <c r="L27" s="3">
        <f t="shared" si="8"/>
        <v>4.4873160007451201E-4</v>
      </c>
      <c r="M27" s="8">
        <v>100</v>
      </c>
      <c r="N27" s="8">
        <v>100</v>
      </c>
      <c r="O27" s="60">
        <v>1330</v>
      </c>
      <c r="P27" s="5">
        <v>9.3600000000000003E-2</v>
      </c>
      <c r="Q27" s="5">
        <v>9.3600000000000003E-2</v>
      </c>
      <c r="R27" s="81">
        <f t="shared" si="15"/>
        <v>3.0415171395277857E-3</v>
      </c>
      <c r="S27" s="81">
        <f t="shared" si="16"/>
        <v>0</v>
      </c>
      <c r="T27" s="81">
        <f t="shared" si="17"/>
        <v>4.5317220543806651E-3</v>
      </c>
      <c r="U27" s="82">
        <f t="shared" si="18"/>
        <v>-1.9999999999999185E-4</v>
      </c>
      <c r="V27" s="84">
        <f t="shared" si="19"/>
        <v>-1.9999999999999185E-4</v>
      </c>
    </row>
    <row r="28" spans="1:22">
      <c r="A28" s="123">
        <v>20</v>
      </c>
      <c r="B28" s="120" t="s">
        <v>52</v>
      </c>
      <c r="C28" s="121" t="s">
        <v>21</v>
      </c>
      <c r="D28" s="9">
        <v>79989170147.610001</v>
      </c>
      <c r="E28" s="3">
        <f t="shared" si="14"/>
        <v>9.2010245622115808E-2</v>
      </c>
      <c r="F28" s="8">
        <v>1</v>
      </c>
      <c r="G28" s="8">
        <v>1</v>
      </c>
      <c r="H28" s="60">
        <v>54524</v>
      </c>
      <c r="I28" s="5">
        <v>9.8500000000000004E-2</v>
      </c>
      <c r="J28" s="5">
        <v>9.8500000000000004E-2</v>
      </c>
      <c r="K28" s="9">
        <v>80193003934.940002</v>
      </c>
      <c r="L28" s="3">
        <f t="shared" si="8"/>
        <v>9.2244712323091838E-2</v>
      </c>
      <c r="M28" s="8">
        <v>1</v>
      </c>
      <c r="N28" s="8">
        <v>1</v>
      </c>
      <c r="O28" s="60">
        <v>54599</v>
      </c>
      <c r="P28" s="5">
        <v>0.1057</v>
      </c>
      <c r="Q28" s="5">
        <v>0.1057</v>
      </c>
      <c r="R28" s="81">
        <f t="shared" si="15"/>
        <v>2.5482673086100541E-3</v>
      </c>
      <c r="S28" s="81">
        <f t="shared" si="16"/>
        <v>0</v>
      </c>
      <c r="T28" s="81">
        <f t="shared" si="17"/>
        <v>1.375541046144817E-3</v>
      </c>
      <c r="U28" s="82">
        <f t="shared" si="18"/>
        <v>7.1999999999999981E-3</v>
      </c>
      <c r="V28" s="84">
        <f t="shared" si="19"/>
        <v>7.1999999999999981E-3</v>
      </c>
    </row>
    <row r="29" spans="1:22">
      <c r="A29" s="127">
        <v>21</v>
      </c>
      <c r="B29" s="120" t="s">
        <v>53</v>
      </c>
      <c r="C29" s="121" t="s">
        <v>23</v>
      </c>
      <c r="D29" s="9">
        <v>41707121040.550003</v>
      </c>
      <c r="E29" s="3">
        <f t="shared" si="14"/>
        <v>4.7975025169666424E-2</v>
      </c>
      <c r="F29" s="8">
        <v>1</v>
      </c>
      <c r="G29" s="8">
        <v>1</v>
      </c>
      <c r="H29" s="60">
        <v>26139</v>
      </c>
      <c r="I29" s="5">
        <v>9.5100000000000004E-2</v>
      </c>
      <c r="J29" s="5">
        <v>9.5100000000000004E-2</v>
      </c>
      <c r="K29" s="9">
        <v>42324403506.089996</v>
      </c>
      <c r="L29" s="3">
        <f t="shared" si="8"/>
        <v>4.8685075182283752E-2</v>
      </c>
      <c r="M29" s="8">
        <v>1</v>
      </c>
      <c r="N29" s="8">
        <v>1</v>
      </c>
      <c r="O29" s="60">
        <v>26174</v>
      </c>
      <c r="P29" s="5">
        <v>9.3600000000000003E-2</v>
      </c>
      <c r="Q29" s="5">
        <v>9.3600000000000003E-2</v>
      </c>
      <c r="R29" s="81">
        <f t="shared" si="15"/>
        <v>1.4800409381885569E-2</v>
      </c>
      <c r="S29" s="81">
        <f t="shared" si="16"/>
        <v>0</v>
      </c>
      <c r="T29" s="81">
        <f t="shared" si="17"/>
        <v>1.3389953709017177E-3</v>
      </c>
      <c r="U29" s="82">
        <f t="shared" si="18"/>
        <v>-1.5000000000000013E-3</v>
      </c>
      <c r="V29" s="84">
        <f t="shared" si="19"/>
        <v>-1.5000000000000013E-3</v>
      </c>
    </row>
    <row r="30" spans="1:22" ht="15" customHeight="1">
      <c r="A30" s="129">
        <v>22</v>
      </c>
      <c r="B30" s="120" t="s">
        <v>54</v>
      </c>
      <c r="C30" s="121" t="s">
        <v>40</v>
      </c>
      <c r="D30" s="9">
        <v>7278764012.6000004</v>
      </c>
      <c r="E30" s="3">
        <f t="shared" si="14"/>
        <v>8.3726442390745816E-3</v>
      </c>
      <c r="F30" s="8">
        <v>100</v>
      </c>
      <c r="G30" s="8">
        <v>100</v>
      </c>
      <c r="H30" s="60">
        <v>2705</v>
      </c>
      <c r="I30" s="5">
        <v>9.8299999999999998E-2</v>
      </c>
      <c r="J30" s="5">
        <v>9.8299999999999998E-2</v>
      </c>
      <c r="K30" s="9">
        <v>7274450620.6400003</v>
      </c>
      <c r="L30" s="3">
        <f t="shared" si="8"/>
        <v>8.3676826142324717E-3</v>
      </c>
      <c r="M30" s="8">
        <v>100</v>
      </c>
      <c r="N30" s="8">
        <v>100</v>
      </c>
      <c r="O30" s="60">
        <v>2705</v>
      </c>
      <c r="P30" s="5">
        <v>9.69E-2</v>
      </c>
      <c r="Q30" s="5">
        <v>9.69E-2</v>
      </c>
      <c r="R30" s="81">
        <f t="shared" si="15"/>
        <v>-5.9259950625316111E-4</v>
      </c>
      <c r="S30" s="81">
        <f t="shared" si="16"/>
        <v>0</v>
      </c>
      <c r="T30" s="81">
        <f t="shared" si="17"/>
        <v>0</v>
      </c>
      <c r="U30" s="82">
        <f t="shared" si="18"/>
        <v>-1.3999999999999985E-3</v>
      </c>
      <c r="V30" s="84">
        <f t="shared" si="19"/>
        <v>-1.3999999999999985E-3</v>
      </c>
    </row>
    <row r="31" spans="1:22">
      <c r="A31" s="127">
        <v>23</v>
      </c>
      <c r="B31" s="120" t="s">
        <v>55</v>
      </c>
      <c r="C31" s="121" t="s">
        <v>56</v>
      </c>
      <c r="D31" s="9">
        <v>12194532308.769999</v>
      </c>
      <c r="E31" s="3">
        <f t="shared" si="14"/>
        <v>1.4027172814847355E-2</v>
      </c>
      <c r="F31" s="8">
        <v>100</v>
      </c>
      <c r="G31" s="8">
        <v>100</v>
      </c>
      <c r="H31" s="60">
        <v>1792</v>
      </c>
      <c r="I31" s="5">
        <v>0.11189993069521199</v>
      </c>
      <c r="J31" s="5">
        <v>0.11189993069521199</v>
      </c>
      <c r="K31" s="9">
        <v>12272107774.309999</v>
      </c>
      <c r="L31" s="3">
        <f t="shared" si="8"/>
        <v>1.4116406615190747E-2</v>
      </c>
      <c r="M31" s="8">
        <v>100</v>
      </c>
      <c r="N31" s="8">
        <v>100</v>
      </c>
      <c r="O31" s="60">
        <v>1754</v>
      </c>
      <c r="P31" s="5">
        <v>0.124302820321243</v>
      </c>
      <c r="Q31" s="5">
        <v>0.124302820321243</v>
      </c>
      <c r="R31" s="81">
        <f t="shared" si="15"/>
        <v>6.3614957569312113E-3</v>
      </c>
      <c r="S31" s="81">
        <f t="shared" si="16"/>
        <v>0</v>
      </c>
      <c r="T31" s="81">
        <f t="shared" si="17"/>
        <v>-2.1205357142857144E-2</v>
      </c>
      <c r="U31" s="82">
        <f t="shared" si="18"/>
        <v>1.2402889626031005E-2</v>
      </c>
      <c r="V31" s="84">
        <f t="shared" si="19"/>
        <v>1.2402889626031005E-2</v>
      </c>
    </row>
    <row r="32" spans="1:22">
      <c r="A32" s="124">
        <v>24</v>
      </c>
      <c r="B32" s="120" t="s">
        <v>57</v>
      </c>
      <c r="C32" s="121" t="s">
        <v>58</v>
      </c>
      <c r="D32" s="9">
        <v>5684004961.6899996</v>
      </c>
      <c r="E32" s="3">
        <f t="shared" si="14"/>
        <v>6.5382187573307157E-3</v>
      </c>
      <c r="F32" s="8">
        <v>100</v>
      </c>
      <c r="G32" s="8">
        <v>100</v>
      </c>
      <c r="H32" s="60">
        <v>5677</v>
      </c>
      <c r="I32" s="5">
        <v>0.1003</v>
      </c>
      <c r="J32" s="5">
        <v>0.1003</v>
      </c>
      <c r="K32" s="9">
        <v>5592178972.6499996</v>
      </c>
      <c r="L32" s="3">
        <f t="shared" si="8"/>
        <v>6.4325928108373009E-3</v>
      </c>
      <c r="M32" s="8">
        <v>100</v>
      </c>
      <c r="N32" s="8">
        <v>100</v>
      </c>
      <c r="O32" s="60">
        <v>5685</v>
      </c>
      <c r="P32" s="5">
        <v>9.4899999999999998E-2</v>
      </c>
      <c r="Q32" s="5">
        <v>9.4899999999999998E-2</v>
      </c>
      <c r="R32" s="81">
        <f t="shared" si="15"/>
        <v>-1.615515638337827E-2</v>
      </c>
      <c r="S32" s="81">
        <f t="shared" si="16"/>
        <v>0</v>
      </c>
      <c r="T32" s="81">
        <f t="shared" si="17"/>
        <v>1.4091949973577594E-3</v>
      </c>
      <c r="U32" s="82">
        <f t="shared" si="18"/>
        <v>-5.400000000000002E-3</v>
      </c>
      <c r="V32" s="84">
        <f t="shared" si="19"/>
        <v>-5.400000000000002E-3</v>
      </c>
    </row>
    <row r="33" spans="1:22">
      <c r="A33" s="129">
        <v>25</v>
      </c>
      <c r="B33" s="120" t="s">
        <v>59</v>
      </c>
      <c r="C33" s="121" t="s">
        <v>60</v>
      </c>
      <c r="D33" s="9">
        <v>44514190.369999997</v>
      </c>
      <c r="E33" s="3">
        <f t="shared" si="14"/>
        <v>5.1203951510624589E-5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5.1203951510624589E-5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1">
        <f t="shared" si="15"/>
        <v>0</v>
      </c>
      <c r="S33" s="81">
        <f t="shared" si="16"/>
        <v>0</v>
      </c>
      <c r="T33" s="81" t="e">
        <f t="shared" si="17"/>
        <v>#DIV/0!</v>
      </c>
      <c r="U33" s="82">
        <f t="shared" si="18"/>
        <v>0</v>
      </c>
      <c r="V33" s="84">
        <f t="shared" si="19"/>
        <v>0</v>
      </c>
    </row>
    <row r="34" spans="1:22">
      <c r="A34" s="127">
        <v>26</v>
      </c>
      <c r="B34" s="120" t="s">
        <v>61</v>
      </c>
      <c r="C34" s="121" t="s">
        <v>62</v>
      </c>
      <c r="D34" s="9">
        <v>5240000000</v>
      </c>
      <c r="E34" s="3">
        <f t="shared" si="14"/>
        <v>6.0274870481862673E-3</v>
      </c>
      <c r="F34" s="8">
        <v>1</v>
      </c>
      <c r="G34" s="8">
        <v>1</v>
      </c>
      <c r="H34" s="60">
        <v>2042</v>
      </c>
      <c r="I34" s="5">
        <v>0.1042</v>
      </c>
      <c r="J34" s="5">
        <v>0.1042</v>
      </c>
      <c r="K34" s="9">
        <v>5273580971.7799997</v>
      </c>
      <c r="L34" s="3">
        <f t="shared" si="8"/>
        <v>6.0661146956041022E-3</v>
      </c>
      <c r="M34" s="8">
        <v>1</v>
      </c>
      <c r="N34" s="8">
        <v>1</v>
      </c>
      <c r="O34" s="60">
        <v>2050</v>
      </c>
      <c r="P34" s="5">
        <v>0.1007</v>
      </c>
      <c r="Q34" s="5">
        <v>0.1007</v>
      </c>
      <c r="R34" s="81">
        <f t="shared" si="15"/>
        <v>6.4085824007633074E-3</v>
      </c>
      <c r="S34" s="81">
        <f t="shared" si="16"/>
        <v>0</v>
      </c>
      <c r="T34" s="81">
        <f t="shared" si="17"/>
        <v>3.9177277179236044E-3</v>
      </c>
      <c r="U34" s="82">
        <f t="shared" si="18"/>
        <v>-3.5000000000000031E-3</v>
      </c>
      <c r="V34" s="84">
        <f t="shared" si="19"/>
        <v>-3.5000000000000031E-3</v>
      </c>
    </row>
    <row r="35" spans="1:22">
      <c r="A35" s="127">
        <v>27</v>
      </c>
      <c r="B35" s="120" t="s">
        <v>63</v>
      </c>
      <c r="C35" s="121" t="s">
        <v>64</v>
      </c>
      <c r="D35" s="9">
        <v>14210912376.08</v>
      </c>
      <c r="E35" s="3">
        <f t="shared" si="14"/>
        <v>1.6346582116361093E-2</v>
      </c>
      <c r="F35" s="11">
        <v>100</v>
      </c>
      <c r="G35" s="11">
        <v>100</v>
      </c>
      <c r="H35" s="60">
        <v>2578</v>
      </c>
      <c r="I35" s="5">
        <v>0.10009999999999999</v>
      </c>
      <c r="J35" s="5">
        <v>0.10009999999999999</v>
      </c>
      <c r="K35" s="9">
        <v>14411731574.940001</v>
      </c>
      <c r="L35" s="3">
        <f t="shared" si="8"/>
        <v>1.6577581185093115E-2</v>
      </c>
      <c r="M35" s="11">
        <v>100</v>
      </c>
      <c r="N35" s="11">
        <v>100</v>
      </c>
      <c r="O35" s="60">
        <v>2577</v>
      </c>
      <c r="P35" s="5">
        <v>0.1002</v>
      </c>
      <c r="Q35" s="5">
        <v>0.1002</v>
      </c>
      <c r="R35" s="81">
        <f t="shared" si="15"/>
        <v>1.4131337492307827E-2</v>
      </c>
      <c r="S35" s="81">
        <f t="shared" si="16"/>
        <v>0</v>
      </c>
      <c r="T35" s="81">
        <f t="shared" si="17"/>
        <v>-3.8789759503491078E-4</v>
      </c>
      <c r="U35" s="82">
        <f t="shared" si="18"/>
        <v>1.0000000000000286E-4</v>
      </c>
      <c r="V35" s="84">
        <f t="shared" si="19"/>
        <v>1.0000000000000286E-4</v>
      </c>
    </row>
    <row r="36" spans="1:22">
      <c r="A36" s="127">
        <v>28</v>
      </c>
      <c r="B36" s="120" t="s">
        <v>65</v>
      </c>
      <c r="C36" s="121" t="s">
        <v>64</v>
      </c>
      <c r="D36" s="9">
        <v>1308056282.1800001</v>
      </c>
      <c r="E36" s="3">
        <f t="shared" si="14"/>
        <v>1.5046359349501204E-3</v>
      </c>
      <c r="F36" s="11">
        <v>1000000</v>
      </c>
      <c r="G36" s="11">
        <v>1000000</v>
      </c>
      <c r="H36" s="60">
        <v>9</v>
      </c>
      <c r="I36" s="5">
        <v>9.5699999999999993E-2</v>
      </c>
      <c r="J36" s="5">
        <v>9.5699999999999993E-2</v>
      </c>
      <c r="K36" s="9">
        <v>1212921138.8699999</v>
      </c>
      <c r="L36" s="3">
        <f t="shared" si="8"/>
        <v>1.3952035219485231E-3</v>
      </c>
      <c r="M36" s="11">
        <v>1000000</v>
      </c>
      <c r="N36" s="11">
        <v>1000000</v>
      </c>
      <c r="O36" s="60">
        <v>9</v>
      </c>
      <c r="P36" s="5">
        <v>9.9599999999999994E-2</v>
      </c>
      <c r="Q36" s="5">
        <v>9.9599999999999994E-2</v>
      </c>
      <c r="R36" s="81">
        <f t="shared" si="15"/>
        <v>-7.2730160472490091E-2</v>
      </c>
      <c r="S36" s="81">
        <f t="shared" si="16"/>
        <v>0</v>
      </c>
      <c r="T36" s="81">
        <f t="shared" si="17"/>
        <v>0</v>
      </c>
      <c r="U36" s="82">
        <f t="shared" si="18"/>
        <v>3.9000000000000007E-3</v>
      </c>
      <c r="V36" s="84">
        <f t="shared" si="19"/>
        <v>3.9000000000000007E-3</v>
      </c>
    </row>
    <row r="37" spans="1:22">
      <c r="A37" s="125">
        <v>29</v>
      </c>
      <c r="B37" s="120" t="s">
        <v>66</v>
      </c>
      <c r="C37" s="121" t="s">
        <v>67</v>
      </c>
      <c r="D37" s="9">
        <v>2757792749.29</v>
      </c>
      <c r="E37" s="3">
        <f t="shared" si="14"/>
        <v>3.1722442896808152E-3</v>
      </c>
      <c r="F37" s="8">
        <v>1</v>
      </c>
      <c r="G37" s="8">
        <v>1</v>
      </c>
      <c r="H37" s="60">
        <v>426</v>
      </c>
      <c r="I37" s="5">
        <v>0.13009999999999999</v>
      </c>
      <c r="J37" s="5">
        <v>0.13009999999999999</v>
      </c>
      <c r="K37" s="9">
        <v>2999573164.9299998</v>
      </c>
      <c r="L37" s="3">
        <f t="shared" si="8"/>
        <v>3.4503603820043248E-3</v>
      </c>
      <c r="M37" s="8">
        <v>1</v>
      </c>
      <c r="N37" s="8">
        <v>1</v>
      </c>
      <c r="O37" s="60">
        <v>416</v>
      </c>
      <c r="P37" s="5">
        <v>0.13100000000000001</v>
      </c>
      <c r="Q37" s="5">
        <v>0.13100000000000001</v>
      </c>
      <c r="R37" s="81">
        <f t="shared" si="15"/>
        <v>8.767171343903446E-2</v>
      </c>
      <c r="S37" s="81">
        <f t="shared" si="16"/>
        <v>0</v>
      </c>
      <c r="T37" s="81">
        <f t="shared" si="17"/>
        <v>-2.3474178403755867E-2</v>
      </c>
      <c r="U37" s="82">
        <f t="shared" si="18"/>
        <v>9.000000000000119E-4</v>
      </c>
      <c r="V37" s="84">
        <f t="shared" si="19"/>
        <v>9.000000000000119E-4</v>
      </c>
    </row>
    <row r="38" spans="1:22">
      <c r="A38" s="126">
        <v>30</v>
      </c>
      <c r="B38" s="120" t="s">
        <v>68</v>
      </c>
      <c r="C38" s="121" t="s">
        <v>27</v>
      </c>
      <c r="D38" s="9">
        <v>195549700612.03</v>
      </c>
      <c r="E38" s="3">
        <f t="shared" si="14"/>
        <v>0.22493765032742613</v>
      </c>
      <c r="F38" s="8">
        <v>100</v>
      </c>
      <c r="G38" s="8">
        <v>100</v>
      </c>
      <c r="H38" s="60">
        <v>14949</v>
      </c>
      <c r="I38" s="5">
        <v>0.10589999999999999</v>
      </c>
      <c r="J38" s="5">
        <v>0.10589999999999999</v>
      </c>
      <c r="K38" s="9">
        <v>195344023186.59</v>
      </c>
      <c r="L38" s="3">
        <f t="shared" si="8"/>
        <v>0.22470106291942157</v>
      </c>
      <c r="M38" s="8">
        <v>100</v>
      </c>
      <c r="N38" s="8">
        <v>100</v>
      </c>
      <c r="O38" s="60">
        <v>14969</v>
      </c>
      <c r="P38" s="5">
        <v>0.108</v>
      </c>
      <c r="Q38" s="5">
        <v>0.108</v>
      </c>
      <c r="R38" s="81">
        <f t="shared" si="15"/>
        <v>-1.0517910525880364E-3</v>
      </c>
      <c r="S38" s="81">
        <f t="shared" si="16"/>
        <v>0</v>
      </c>
      <c r="T38" s="81">
        <f t="shared" si="17"/>
        <v>1.3378821325841193E-3</v>
      </c>
      <c r="U38" s="82">
        <f t="shared" si="18"/>
        <v>2.1000000000000046E-3</v>
      </c>
      <c r="V38" s="84">
        <f t="shared" si="19"/>
        <v>2.1000000000000046E-3</v>
      </c>
    </row>
    <row r="39" spans="1:22">
      <c r="A39" s="127">
        <v>31</v>
      </c>
      <c r="B39" s="120" t="s">
        <v>69</v>
      </c>
      <c r="C39" s="121" t="s">
        <v>70</v>
      </c>
      <c r="D39" s="9">
        <v>271502335.69999999</v>
      </c>
      <c r="E39" s="3">
        <f t="shared" si="14"/>
        <v>3.1230473511146368E-4</v>
      </c>
      <c r="F39" s="8">
        <v>1</v>
      </c>
      <c r="G39" s="8">
        <v>1</v>
      </c>
      <c r="H39" s="61">
        <v>434</v>
      </c>
      <c r="I39" s="12">
        <v>0.17510000000000001</v>
      </c>
      <c r="J39" s="12">
        <v>-4.3799999999999999E-2</v>
      </c>
      <c r="K39" s="9">
        <v>231931650.16</v>
      </c>
      <c r="L39" s="3">
        <f t="shared" si="8"/>
        <v>2.6678721706180694E-4</v>
      </c>
      <c r="M39" s="8">
        <v>1</v>
      </c>
      <c r="N39" s="8">
        <v>1</v>
      </c>
      <c r="O39" s="61">
        <v>435</v>
      </c>
      <c r="P39" s="12">
        <v>5.5800000000000002E-2</v>
      </c>
      <c r="Q39" s="12">
        <v>5.5800000000000002E-2</v>
      </c>
      <c r="R39" s="81">
        <f t="shared" si="15"/>
        <v>-0.14574712750804519</v>
      </c>
      <c r="S39" s="81">
        <f t="shared" si="16"/>
        <v>0</v>
      </c>
      <c r="T39" s="81">
        <f t="shared" si="17"/>
        <v>2.304147465437788E-3</v>
      </c>
      <c r="U39" s="82">
        <f t="shared" si="18"/>
        <v>-0.1193</v>
      </c>
      <c r="V39" s="84">
        <f t="shared" si="19"/>
        <v>9.9599999999999994E-2</v>
      </c>
    </row>
    <row r="40" spans="1:22">
      <c r="A40" s="126">
        <v>32</v>
      </c>
      <c r="B40" s="120" t="s">
        <v>71</v>
      </c>
      <c r="C40" s="121" t="s">
        <v>72</v>
      </c>
      <c r="D40" s="9">
        <v>640666744.51999998</v>
      </c>
      <c r="E40" s="3">
        <f t="shared" si="14"/>
        <v>7.3694856961793124E-4</v>
      </c>
      <c r="F40" s="8">
        <v>10</v>
      </c>
      <c r="G40" s="8">
        <v>10</v>
      </c>
      <c r="H40" s="60">
        <v>289</v>
      </c>
      <c r="I40" s="5">
        <v>0.1016</v>
      </c>
      <c r="J40" s="5">
        <v>0.1016</v>
      </c>
      <c r="K40" s="9">
        <v>658793077.01999998</v>
      </c>
      <c r="L40" s="3">
        <f t="shared" si="8"/>
        <v>7.5779899602534874E-4</v>
      </c>
      <c r="M40" s="8">
        <v>10</v>
      </c>
      <c r="N40" s="8">
        <v>10</v>
      </c>
      <c r="O40" s="60">
        <v>291</v>
      </c>
      <c r="P40" s="5">
        <v>9.6699999999999994E-2</v>
      </c>
      <c r="Q40" s="5">
        <v>9.6699999999999994E-2</v>
      </c>
      <c r="R40" s="81">
        <f t="shared" si="15"/>
        <v>2.8292919298598215E-2</v>
      </c>
      <c r="S40" s="81">
        <f t="shared" si="16"/>
        <v>0</v>
      </c>
      <c r="T40" s="81">
        <f t="shared" si="17"/>
        <v>6.920415224913495E-3</v>
      </c>
      <c r="U40" s="82">
        <f t="shared" si="18"/>
        <v>-4.9000000000000016E-3</v>
      </c>
      <c r="V40" s="84">
        <f t="shared" si="19"/>
        <v>-4.9000000000000016E-3</v>
      </c>
    </row>
    <row r="41" spans="1:22">
      <c r="A41" s="124">
        <v>33</v>
      </c>
      <c r="B41" s="120" t="s">
        <v>73</v>
      </c>
      <c r="C41" s="121" t="s">
        <v>74</v>
      </c>
      <c r="D41" s="9">
        <v>2906478332.1385937</v>
      </c>
      <c r="E41" s="3">
        <f t="shared" si="14"/>
        <v>3.3432749051143886E-3</v>
      </c>
      <c r="F41" s="8">
        <v>100</v>
      </c>
      <c r="G41" s="8">
        <v>100</v>
      </c>
      <c r="H41" s="60">
        <v>1242</v>
      </c>
      <c r="I41" s="5">
        <v>9.3787594817116807E-2</v>
      </c>
      <c r="J41" s="5">
        <v>9.3787594817116807E-2</v>
      </c>
      <c r="K41" s="9">
        <v>2900568914.9343548</v>
      </c>
      <c r="L41" s="3">
        <f t="shared" si="8"/>
        <v>3.3364773983088772E-3</v>
      </c>
      <c r="M41" s="8">
        <v>100</v>
      </c>
      <c r="N41" s="8">
        <v>100</v>
      </c>
      <c r="O41" s="60">
        <v>1242</v>
      </c>
      <c r="P41" s="5">
        <v>9.3787594817116807E-2</v>
      </c>
      <c r="Q41" s="5">
        <v>9.3787594817116807E-2</v>
      </c>
      <c r="R41" s="81">
        <f t="shared" si="15"/>
        <v>-2.0331881159735771E-3</v>
      </c>
      <c r="S41" s="81">
        <f t="shared" si="16"/>
        <v>0</v>
      </c>
      <c r="T41" s="81">
        <f t="shared" si="17"/>
        <v>0</v>
      </c>
      <c r="U41" s="82">
        <f t="shared" si="18"/>
        <v>0</v>
      </c>
      <c r="V41" s="84">
        <f t="shared" si="19"/>
        <v>0</v>
      </c>
    </row>
    <row r="42" spans="1:22" ht="15.75" customHeight="1">
      <c r="A42" s="125">
        <v>34</v>
      </c>
      <c r="B42" s="120" t="s">
        <v>240</v>
      </c>
      <c r="C42" s="121" t="s">
        <v>32</v>
      </c>
      <c r="D42" s="9">
        <v>21679828763.267502</v>
      </c>
      <c r="E42" s="3">
        <f t="shared" si="14"/>
        <v>2.4937955549139496E-2</v>
      </c>
      <c r="F42" s="8">
        <v>100</v>
      </c>
      <c r="G42" s="8">
        <v>100</v>
      </c>
      <c r="H42" s="60">
        <v>10869</v>
      </c>
      <c r="I42" s="5">
        <v>0.1108</v>
      </c>
      <c r="J42" s="5">
        <v>0.1108</v>
      </c>
      <c r="K42" s="9">
        <v>21411207347.147499</v>
      </c>
      <c r="L42" s="3">
        <f t="shared" si="8"/>
        <v>2.4628964689114921E-2</v>
      </c>
      <c r="M42" s="8">
        <v>100</v>
      </c>
      <c r="N42" s="8">
        <v>100</v>
      </c>
      <c r="O42" s="60">
        <v>10899</v>
      </c>
      <c r="P42" s="5">
        <v>0.1123</v>
      </c>
      <c r="Q42" s="5">
        <v>8.9099999999999999E-2</v>
      </c>
      <c r="R42" s="81">
        <f t="shared" si="15"/>
        <v>-1.2390384585284757E-2</v>
      </c>
      <c r="S42" s="81">
        <f t="shared" si="16"/>
        <v>0</v>
      </c>
      <c r="T42" s="81">
        <f t="shared" si="17"/>
        <v>2.760143527463428E-3</v>
      </c>
      <c r="U42" s="82">
        <f t="shared" si="18"/>
        <v>1.5000000000000013E-3</v>
      </c>
      <c r="V42" s="84">
        <f t="shared" si="19"/>
        <v>-2.1699999999999997E-2</v>
      </c>
    </row>
    <row r="43" spans="1:22">
      <c r="A43" s="125">
        <v>35</v>
      </c>
      <c r="B43" s="120" t="s">
        <v>75</v>
      </c>
      <c r="C43" s="121" t="s">
        <v>34</v>
      </c>
      <c r="D43" s="9">
        <v>2948898148.8800001</v>
      </c>
      <c r="E43" s="3">
        <f t="shared" si="14"/>
        <v>3.3920697325944007E-3</v>
      </c>
      <c r="F43" s="8">
        <v>1</v>
      </c>
      <c r="G43" s="8">
        <v>1</v>
      </c>
      <c r="H43" s="60">
        <v>823</v>
      </c>
      <c r="I43" s="5">
        <v>3.9100000000000003E-2</v>
      </c>
      <c r="J43" s="5">
        <v>8.2400000000000001E-2</v>
      </c>
      <c r="K43" s="9">
        <v>2933590344.9099998</v>
      </c>
      <c r="L43" s="3">
        <f t="shared" si="8"/>
        <v>3.3744614138605548E-3</v>
      </c>
      <c r="M43" s="8">
        <v>1</v>
      </c>
      <c r="N43" s="8">
        <v>1</v>
      </c>
      <c r="O43" s="60">
        <v>822</v>
      </c>
      <c r="P43" s="5">
        <v>7.8E-2</v>
      </c>
      <c r="Q43" s="5">
        <v>7.8E-2</v>
      </c>
      <c r="R43" s="81">
        <f t="shared" si="15"/>
        <v>-5.1910249853200979E-3</v>
      </c>
      <c r="S43" s="81">
        <f t="shared" si="16"/>
        <v>0</v>
      </c>
      <c r="T43" s="81">
        <f t="shared" si="17"/>
        <v>-1.215066828675577E-3</v>
      </c>
      <c r="U43" s="82">
        <f t="shared" si="18"/>
        <v>3.8899999999999997E-2</v>
      </c>
      <c r="V43" s="84">
        <f t="shared" si="19"/>
        <v>-4.4000000000000011E-3</v>
      </c>
    </row>
    <row r="44" spans="1:22">
      <c r="A44" s="126">
        <v>36</v>
      </c>
      <c r="B44" s="120" t="s">
        <v>76</v>
      </c>
      <c r="C44" s="121" t="s">
        <v>36</v>
      </c>
      <c r="D44" s="13">
        <v>3285293871.8299999</v>
      </c>
      <c r="E44" s="3">
        <f t="shared" si="14"/>
        <v>3.7790202789963812E-3</v>
      </c>
      <c r="F44" s="8">
        <v>10</v>
      </c>
      <c r="G44" s="8">
        <v>10</v>
      </c>
      <c r="H44" s="60">
        <v>1876</v>
      </c>
      <c r="I44" s="5">
        <v>0.11559999999999999</v>
      </c>
      <c r="J44" s="5">
        <v>0.11559999999999999</v>
      </c>
      <c r="K44" s="13">
        <v>3424245400.2600002</v>
      </c>
      <c r="L44" s="3">
        <f t="shared" si="8"/>
        <v>3.9388539694424716E-3</v>
      </c>
      <c r="M44" s="8">
        <v>10</v>
      </c>
      <c r="N44" s="8">
        <v>10</v>
      </c>
      <c r="O44" s="60">
        <v>1873</v>
      </c>
      <c r="P44" s="5">
        <v>0.1158</v>
      </c>
      <c r="Q44" s="5">
        <v>0.1158</v>
      </c>
      <c r="R44" s="81">
        <f t="shared" si="15"/>
        <v>4.2295007342098269E-2</v>
      </c>
      <c r="S44" s="81">
        <f t="shared" si="16"/>
        <v>0</v>
      </c>
      <c r="T44" s="81">
        <f t="shared" si="17"/>
        <v>-1.5991471215351812E-3</v>
      </c>
      <c r="U44" s="82">
        <f t="shared" si="18"/>
        <v>2.0000000000000573E-4</v>
      </c>
      <c r="V44" s="84">
        <f t="shared" si="19"/>
        <v>2.0000000000000573E-4</v>
      </c>
    </row>
    <row r="45" spans="1:22">
      <c r="A45" s="126">
        <v>37</v>
      </c>
      <c r="B45" s="120" t="s">
        <v>77</v>
      </c>
      <c r="C45" s="121" t="s">
        <v>78</v>
      </c>
      <c r="D45" s="9">
        <v>5197793814.749999</v>
      </c>
      <c r="E45" s="3">
        <f t="shared" si="14"/>
        <v>5.978937957547387E-3</v>
      </c>
      <c r="F45" s="8">
        <v>100</v>
      </c>
      <c r="G45" s="8">
        <v>100</v>
      </c>
      <c r="H45" s="60">
        <v>1928</v>
      </c>
      <c r="I45" s="5">
        <v>0.1153</v>
      </c>
      <c r="J45" s="5">
        <v>0.1153</v>
      </c>
      <c r="K45" s="9">
        <v>4946346531.96</v>
      </c>
      <c r="L45" s="3">
        <f t="shared" si="8"/>
        <v>5.689702224662206E-3</v>
      </c>
      <c r="M45" s="8">
        <v>100</v>
      </c>
      <c r="N45" s="8">
        <v>100</v>
      </c>
      <c r="O45" s="60">
        <v>1940</v>
      </c>
      <c r="P45" s="5">
        <v>0.1147</v>
      </c>
      <c r="Q45" s="5">
        <v>0.1147</v>
      </c>
      <c r="R45" s="81">
        <f t="shared" si="15"/>
        <v>-4.8375770904274126E-2</v>
      </c>
      <c r="S45" s="81">
        <f t="shared" si="16"/>
        <v>0</v>
      </c>
      <c r="T45" s="81">
        <f t="shared" si="17"/>
        <v>6.2240663900414933E-3</v>
      </c>
      <c r="U45" s="82">
        <f t="shared" si="18"/>
        <v>-6.0000000000000331E-4</v>
      </c>
      <c r="V45" s="84">
        <f t="shared" si="19"/>
        <v>-6.0000000000000331E-4</v>
      </c>
    </row>
    <row r="46" spans="1:22">
      <c r="A46" s="127">
        <v>38</v>
      </c>
      <c r="B46" s="120" t="s">
        <v>79</v>
      </c>
      <c r="C46" s="121" t="s">
        <v>80</v>
      </c>
      <c r="D46" s="9">
        <v>182665852.63999999</v>
      </c>
      <c r="E46" s="3">
        <f t="shared" si="14"/>
        <v>2.1011756888043916E-4</v>
      </c>
      <c r="F46" s="8">
        <v>1</v>
      </c>
      <c r="G46" s="8">
        <v>1</v>
      </c>
      <c r="H46" s="60">
        <v>61</v>
      </c>
      <c r="I46" s="5">
        <v>7.0599999999999996E-2</v>
      </c>
      <c r="J46" s="5">
        <v>7.0599999999999996E-2</v>
      </c>
      <c r="K46" s="9">
        <v>182465853.99000001</v>
      </c>
      <c r="L46" s="3">
        <f t="shared" si="8"/>
        <v>2.0988751367575793E-4</v>
      </c>
      <c r="M46" s="8">
        <v>1</v>
      </c>
      <c r="N46" s="8">
        <v>1</v>
      </c>
      <c r="O46" s="60">
        <v>61</v>
      </c>
      <c r="P46" s="5">
        <v>7.3300000000000004E-2</v>
      </c>
      <c r="Q46" s="5">
        <v>7.3300000000000004E-2</v>
      </c>
      <c r="R46" s="81">
        <f t="shared" si="15"/>
        <v>-1.0948879996423625E-3</v>
      </c>
      <c r="S46" s="81">
        <f t="shared" si="16"/>
        <v>0</v>
      </c>
      <c r="T46" s="81">
        <f t="shared" si="17"/>
        <v>0</v>
      </c>
      <c r="U46" s="82">
        <f t="shared" si="18"/>
        <v>2.7000000000000079E-3</v>
      </c>
      <c r="V46" s="84">
        <f t="shared" si="19"/>
        <v>2.7000000000000079E-3</v>
      </c>
    </row>
    <row r="47" spans="1:22">
      <c r="A47" s="124">
        <v>39</v>
      </c>
      <c r="B47" s="120" t="s">
        <v>81</v>
      </c>
      <c r="C47" s="121" t="s">
        <v>38</v>
      </c>
      <c r="D47" s="13">
        <v>665908872.97000003</v>
      </c>
      <c r="E47" s="3">
        <f t="shared" si="14"/>
        <v>7.6598418074408196E-4</v>
      </c>
      <c r="F47" s="8">
        <v>10</v>
      </c>
      <c r="G47" s="8">
        <v>10</v>
      </c>
      <c r="H47" s="60">
        <v>632</v>
      </c>
      <c r="I47" s="5">
        <v>0.1158</v>
      </c>
      <c r="J47" s="5">
        <v>0.1158</v>
      </c>
      <c r="K47" s="13">
        <v>740748879.13</v>
      </c>
      <c r="L47" s="3">
        <f t="shared" si="8"/>
        <v>8.5207142651041404E-4</v>
      </c>
      <c r="M47" s="8">
        <v>10</v>
      </c>
      <c r="N47" s="8">
        <v>10</v>
      </c>
      <c r="O47" s="60">
        <v>634</v>
      </c>
      <c r="P47" s="5">
        <v>9.7699999999999995E-2</v>
      </c>
      <c r="Q47" s="5">
        <v>9.7699999999999995E-2</v>
      </c>
      <c r="R47" s="81">
        <f t="shared" si="15"/>
        <v>0.11238775934341934</v>
      </c>
      <c r="S47" s="81">
        <f t="shared" si="16"/>
        <v>0</v>
      </c>
      <c r="T47" s="81">
        <f t="shared" si="17"/>
        <v>3.1645569620253164E-3</v>
      </c>
      <c r="U47" s="82">
        <f t="shared" si="18"/>
        <v>-1.8100000000000005E-2</v>
      </c>
      <c r="V47" s="84">
        <f t="shared" si="19"/>
        <v>-1.8100000000000005E-2</v>
      </c>
    </row>
    <row r="48" spans="1:22">
      <c r="A48" s="127">
        <v>40</v>
      </c>
      <c r="B48" s="120" t="s">
        <v>255</v>
      </c>
      <c r="C48" s="121" t="s">
        <v>256</v>
      </c>
      <c r="D48" s="13">
        <v>0</v>
      </c>
      <c r="E48" s="3">
        <f t="shared" si="14"/>
        <v>0</v>
      </c>
      <c r="F48" s="8">
        <v>0</v>
      </c>
      <c r="G48" s="8">
        <v>0</v>
      </c>
      <c r="H48" s="60">
        <v>0</v>
      </c>
      <c r="I48" s="5">
        <v>0</v>
      </c>
      <c r="J48" s="5">
        <v>0</v>
      </c>
      <c r="K48" s="13">
        <v>577790509.95000005</v>
      </c>
      <c r="L48" s="3">
        <f t="shared" si="8"/>
        <v>6.6462305635277936E-4</v>
      </c>
      <c r="M48" s="8">
        <v>1</v>
      </c>
      <c r="N48" s="8">
        <v>1</v>
      </c>
      <c r="O48" s="60">
        <v>0</v>
      </c>
      <c r="P48" s="5">
        <v>0</v>
      </c>
      <c r="Q48" s="5">
        <v>0</v>
      </c>
      <c r="R48" s="81" t="e">
        <f t="shared" si="15"/>
        <v>#DIV/0!</v>
      </c>
      <c r="S48" s="81" t="e">
        <f t="shared" si="16"/>
        <v>#DIV/0!</v>
      </c>
      <c r="T48" s="81" t="e">
        <f t="shared" si="17"/>
        <v>#DIV/0!</v>
      </c>
      <c r="U48" s="82">
        <f t="shared" si="18"/>
        <v>0</v>
      </c>
      <c r="V48" s="84">
        <f t="shared" si="19"/>
        <v>0</v>
      </c>
    </row>
    <row r="49" spans="1:22">
      <c r="A49" s="129">
        <v>41</v>
      </c>
      <c r="B49" s="120" t="s">
        <v>82</v>
      </c>
      <c r="C49" s="121" t="s">
        <v>42</v>
      </c>
      <c r="D49" s="9">
        <v>379435822490.33002</v>
      </c>
      <c r="E49" s="3">
        <f t="shared" si="14"/>
        <v>0.43645887512945947</v>
      </c>
      <c r="F49" s="8">
        <v>100</v>
      </c>
      <c r="G49" s="8">
        <v>100</v>
      </c>
      <c r="H49" s="60">
        <v>130568</v>
      </c>
      <c r="I49" s="5">
        <v>0.1024</v>
      </c>
      <c r="J49" s="5">
        <v>0.1024</v>
      </c>
      <c r="K49" s="9">
        <v>383076054721.95001</v>
      </c>
      <c r="L49" s="3">
        <f t="shared" si="8"/>
        <v>0.44064617524939836</v>
      </c>
      <c r="M49" s="8">
        <v>100</v>
      </c>
      <c r="N49" s="8">
        <v>100</v>
      </c>
      <c r="O49" s="60">
        <v>130578</v>
      </c>
      <c r="P49" s="5">
        <v>0.1079</v>
      </c>
      <c r="Q49" s="5">
        <v>0.1079</v>
      </c>
      <c r="R49" s="81">
        <f t="shared" si="15"/>
        <v>9.5938022080473626E-3</v>
      </c>
      <c r="S49" s="81">
        <f t="shared" si="16"/>
        <v>0</v>
      </c>
      <c r="T49" s="81">
        <f t="shared" si="17"/>
        <v>7.6588444335518662E-5</v>
      </c>
      <c r="U49" s="82">
        <f t="shared" si="18"/>
        <v>5.499999999999991E-3</v>
      </c>
      <c r="V49" s="84">
        <f t="shared" si="19"/>
        <v>5.499999999999991E-3</v>
      </c>
    </row>
    <row r="50" spans="1:22">
      <c r="A50" s="127">
        <v>42</v>
      </c>
      <c r="B50" s="120" t="s">
        <v>83</v>
      </c>
      <c r="C50" s="121" t="s">
        <v>84</v>
      </c>
      <c r="D50" s="9">
        <v>2508178608.9400001</v>
      </c>
      <c r="E50" s="3">
        <f t="shared" si="14"/>
        <v>2.885117190825133E-3</v>
      </c>
      <c r="F50" s="8">
        <v>1</v>
      </c>
      <c r="G50" s="8">
        <v>1</v>
      </c>
      <c r="H50" s="60">
        <v>314</v>
      </c>
      <c r="I50" s="5">
        <v>0.13892499999999999</v>
      </c>
      <c r="J50" s="5">
        <v>0.13892499999999999</v>
      </c>
      <c r="K50" s="9">
        <v>2481925982.54</v>
      </c>
      <c r="L50" s="3">
        <f t="shared" si="8"/>
        <v>2.8549192202894703E-3</v>
      </c>
      <c r="M50" s="8">
        <v>1</v>
      </c>
      <c r="N50" s="8">
        <v>1</v>
      </c>
      <c r="O50" s="60">
        <v>317</v>
      </c>
      <c r="P50" s="5">
        <v>0.13990669242059736</v>
      </c>
      <c r="Q50" s="5">
        <v>0.13990669242059736</v>
      </c>
      <c r="R50" s="81">
        <f t="shared" si="15"/>
        <v>-1.046680898498489E-2</v>
      </c>
      <c r="S50" s="81">
        <f t="shared" si="16"/>
        <v>0</v>
      </c>
      <c r="T50" s="81">
        <f t="shared" si="17"/>
        <v>9.5541401273885346E-3</v>
      </c>
      <c r="U50" s="82">
        <f t="shared" si="18"/>
        <v>9.8169242059736872E-4</v>
      </c>
      <c r="V50" s="84">
        <f t="shared" si="19"/>
        <v>9.8169242059736872E-4</v>
      </c>
    </row>
    <row r="51" spans="1:22">
      <c r="A51" s="127">
        <v>43</v>
      </c>
      <c r="B51" s="120" t="s">
        <v>85</v>
      </c>
      <c r="C51" s="121" t="s">
        <v>45</v>
      </c>
      <c r="D51" s="9">
        <v>45848781777.639999</v>
      </c>
      <c r="E51" s="3">
        <f t="shared" si="14"/>
        <v>5.2739110370199162E-2</v>
      </c>
      <c r="F51" s="8">
        <v>1</v>
      </c>
      <c r="G51" s="8">
        <v>1</v>
      </c>
      <c r="H51" s="60">
        <v>18694</v>
      </c>
      <c r="I51" s="5">
        <v>0.10639999999999999</v>
      </c>
      <c r="J51" s="5">
        <v>0.10639999999999999</v>
      </c>
      <c r="K51" s="9">
        <v>45359285246.900002</v>
      </c>
      <c r="L51" s="3">
        <f t="shared" si="8"/>
        <v>5.2176050446693926E-2</v>
      </c>
      <c r="M51" s="8">
        <v>1</v>
      </c>
      <c r="N51" s="8">
        <v>1</v>
      </c>
      <c r="O51" s="60">
        <v>18694</v>
      </c>
      <c r="P51" s="5">
        <v>0.1042</v>
      </c>
      <c r="Q51" s="5">
        <v>0.1042</v>
      </c>
      <c r="R51" s="81">
        <f t="shared" si="15"/>
        <v>-1.0676325777072676E-2</v>
      </c>
      <c r="S51" s="81">
        <f t="shared" si="16"/>
        <v>0</v>
      </c>
      <c r="T51" s="81">
        <f t="shared" si="17"/>
        <v>0</v>
      </c>
      <c r="U51" s="82">
        <f t="shared" si="18"/>
        <v>-2.1999999999999936E-3</v>
      </c>
      <c r="V51" s="84">
        <f t="shared" si="19"/>
        <v>-2.1999999999999936E-3</v>
      </c>
    </row>
    <row r="52" spans="1:22">
      <c r="A52" s="127">
        <v>44</v>
      </c>
      <c r="B52" s="120" t="s">
        <v>86</v>
      </c>
      <c r="C52" s="121" t="s">
        <v>87</v>
      </c>
      <c r="D52" s="9">
        <v>1850612253.3800001</v>
      </c>
      <c r="E52" s="3">
        <f t="shared" si="14"/>
        <v>2.1287292726073956E-3</v>
      </c>
      <c r="F52" s="8">
        <v>1</v>
      </c>
      <c r="G52" s="8">
        <v>1</v>
      </c>
      <c r="H52" s="60">
        <v>56</v>
      </c>
      <c r="I52" s="5">
        <v>0</v>
      </c>
      <c r="J52" s="5">
        <v>8.3400000000000002E-2</v>
      </c>
      <c r="K52" s="9">
        <v>1863033752.1300001</v>
      </c>
      <c r="L52" s="3">
        <f t="shared" si="8"/>
        <v>2.1430175212399693E-3</v>
      </c>
      <c r="M52" s="8">
        <v>1</v>
      </c>
      <c r="N52" s="8">
        <v>1</v>
      </c>
      <c r="O52" s="60">
        <v>56</v>
      </c>
      <c r="P52" s="5">
        <v>8.3199999999999996E-2</v>
      </c>
      <c r="Q52" s="5">
        <v>8.3199999999999996E-2</v>
      </c>
      <c r="R52" s="81">
        <f t="shared" si="15"/>
        <v>6.7121022933426993E-3</v>
      </c>
      <c r="S52" s="81">
        <f t="shared" si="16"/>
        <v>0</v>
      </c>
      <c r="T52" s="81">
        <f t="shared" si="17"/>
        <v>0</v>
      </c>
      <c r="U52" s="82">
        <f t="shared" si="18"/>
        <v>8.3199999999999996E-2</v>
      </c>
      <c r="V52" s="84">
        <f t="shared" si="19"/>
        <v>-2.0000000000000573E-4</v>
      </c>
    </row>
    <row r="53" spans="1:22">
      <c r="A53" s="127">
        <v>45</v>
      </c>
      <c r="B53" s="120" t="s">
        <v>88</v>
      </c>
      <c r="C53" s="121" t="s">
        <v>89</v>
      </c>
      <c r="D53" s="9">
        <v>947335535.28999996</v>
      </c>
      <c r="E53" s="3">
        <f t="shared" si="14"/>
        <v>1.0897047078715799E-3</v>
      </c>
      <c r="F53" s="8">
        <v>1</v>
      </c>
      <c r="G53" s="8">
        <v>1</v>
      </c>
      <c r="H53" s="60">
        <v>206</v>
      </c>
      <c r="I53" s="5">
        <v>0.1007</v>
      </c>
      <c r="J53" s="5">
        <v>0.1007</v>
      </c>
      <c r="K53" s="9">
        <v>946224860.39999998</v>
      </c>
      <c r="L53" s="3">
        <f t="shared" si="8"/>
        <v>1.0884271165520721E-3</v>
      </c>
      <c r="M53" s="8">
        <v>1</v>
      </c>
      <c r="N53" s="8">
        <v>1</v>
      </c>
      <c r="O53" s="60">
        <v>209</v>
      </c>
      <c r="P53" s="5">
        <v>9.9299999999999999E-2</v>
      </c>
      <c r="Q53" s="5">
        <v>9.9299999999999999E-2</v>
      </c>
      <c r="R53" s="81">
        <f t="shared" si="15"/>
        <v>-1.1724197484685127E-3</v>
      </c>
      <c r="S53" s="81">
        <f t="shared" si="16"/>
        <v>0</v>
      </c>
      <c r="T53" s="81">
        <f t="shared" si="17"/>
        <v>1.4563106796116505E-2</v>
      </c>
      <c r="U53" s="82">
        <f t="shared" si="18"/>
        <v>-1.3999999999999985E-3</v>
      </c>
      <c r="V53" s="84">
        <f t="shared" si="19"/>
        <v>-1.3999999999999985E-3</v>
      </c>
    </row>
    <row r="54" spans="1:22">
      <c r="A54" s="127">
        <v>46</v>
      </c>
      <c r="B54" s="120" t="s">
        <v>90</v>
      </c>
      <c r="C54" s="121" t="s">
        <v>91</v>
      </c>
      <c r="D54" s="9">
        <v>25946779698.580002</v>
      </c>
      <c r="E54" s="3">
        <f t="shared" si="14"/>
        <v>2.9846160033460561E-2</v>
      </c>
      <c r="F54" s="8">
        <v>1</v>
      </c>
      <c r="G54" s="8">
        <v>1</v>
      </c>
      <c r="H54" s="60">
        <v>3048</v>
      </c>
      <c r="I54" s="5">
        <v>0.109</v>
      </c>
      <c r="J54" s="5">
        <v>0.109</v>
      </c>
      <c r="K54" s="9">
        <v>25054582740.619999</v>
      </c>
      <c r="L54" s="3">
        <f t="shared" si="8"/>
        <v>2.8819880337175235E-2</v>
      </c>
      <c r="M54" s="8">
        <v>1</v>
      </c>
      <c r="N54" s="8">
        <v>1</v>
      </c>
      <c r="O54" s="60">
        <v>3048</v>
      </c>
      <c r="P54" s="5">
        <v>0.1103</v>
      </c>
      <c r="Q54" s="5">
        <v>0.1103</v>
      </c>
      <c r="R54" s="81">
        <f t="shared" si="15"/>
        <v>-3.4385652798710524E-2</v>
      </c>
      <c r="S54" s="81">
        <f t="shared" si="16"/>
        <v>0</v>
      </c>
      <c r="T54" s="81">
        <f t="shared" si="17"/>
        <v>0</v>
      </c>
      <c r="U54" s="82">
        <f t="shared" si="18"/>
        <v>1.2999999999999956E-3</v>
      </c>
      <c r="V54" s="84">
        <f t="shared" si="19"/>
        <v>1.2999999999999956E-3</v>
      </c>
    </row>
    <row r="55" spans="1:22">
      <c r="A55" s="76"/>
      <c r="B55" s="19"/>
      <c r="C55" s="72" t="s">
        <v>46</v>
      </c>
      <c r="D55" s="59">
        <f>SUM(D25:D54)</f>
        <v>865822924113.04614</v>
      </c>
      <c r="E55" s="105">
        <f>(D55/$D$176)</f>
        <v>0.42865068436637094</v>
      </c>
      <c r="F55" s="30"/>
      <c r="G55" s="11"/>
      <c r="H55" s="66">
        <f>SUM(H25:H54)</f>
        <v>285098</v>
      </c>
      <c r="I55" s="32"/>
      <c r="J55" s="32"/>
      <c r="K55" s="59">
        <f>SUM(K25:K54)</f>
        <v>869350685967.34192</v>
      </c>
      <c r="L55" s="105">
        <f>(K55/$K$176)</f>
        <v>0.42956398944959495</v>
      </c>
      <c r="M55" s="30"/>
      <c r="N55" s="11"/>
      <c r="O55" s="66">
        <f>SUM(O25:O54)</f>
        <v>285257</v>
      </c>
      <c r="P55" s="32"/>
      <c r="Q55" s="32"/>
      <c r="R55" s="81">
        <f t="shared" si="15"/>
        <v>4.0744611352369021E-3</v>
      </c>
      <c r="S55" s="81" t="e">
        <f t="shared" si="16"/>
        <v>#DIV/0!</v>
      </c>
      <c r="T55" s="81">
        <f t="shared" si="17"/>
        <v>5.5770296529614378E-4</v>
      </c>
      <c r="U55" s="82">
        <f t="shared" si="18"/>
        <v>0</v>
      </c>
      <c r="V55" s="84">
        <f t="shared" si="19"/>
        <v>0</v>
      </c>
    </row>
    <row r="56" spans="1:22" ht="9" customHeight="1">
      <c r="A56" s="138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</row>
    <row r="57" spans="1:22" ht="15" customHeight="1">
      <c r="A57" s="136" t="s">
        <v>92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</row>
    <row r="58" spans="1:22">
      <c r="A58" s="127">
        <v>47</v>
      </c>
      <c r="B58" s="120" t="s">
        <v>93</v>
      </c>
      <c r="C58" s="121" t="s">
        <v>19</v>
      </c>
      <c r="D58" s="2">
        <v>469203576.20999998</v>
      </c>
      <c r="E58" s="3">
        <f>(D58/$D$89)</f>
        <v>1.5728314379702274E-3</v>
      </c>
      <c r="F58" s="14">
        <v>1.2137</v>
      </c>
      <c r="G58" s="14">
        <v>1.2137</v>
      </c>
      <c r="H58" s="60">
        <v>392</v>
      </c>
      <c r="I58" s="5">
        <v>2.4699999999999999E-4</v>
      </c>
      <c r="J58" s="5">
        <v>-1.4200000000000001E-2</v>
      </c>
      <c r="K58" s="2">
        <v>470216623.68000001</v>
      </c>
      <c r="L58" s="3">
        <f t="shared" ref="L58:L88" si="20">(K58/$K$89)</f>
        <v>1.6082203162235682E-3</v>
      </c>
      <c r="M58" s="14">
        <v>1.2144999999999999</v>
      </c>
      <c r="N58" s="14">
        <v>1.2144999999999999</v>
      </c>
      <c r="O58" s="60">
        <v>393</v>
      </c>
      <c r="P58" s="5">
        <v>3.5530000000000002E-3</v>
      </c>
      <c r="Q58" s="5">
        <v>-1.3599999999999999E-2</v>
      </c>
      <c r="R58" s="81">
        <f t="shared" ref="R58" si="21">((K58-D58)/D58)</f>
        <v>2.1590787482545148E-3</v>
      </c>
      <c r="S58" s="81">
        <f t="shared" ref="S58" si="22">((N58-G58)/G58)</f>
        <v>6.5914146823754793E-4</v>
      </c>
      <c r="T58" s="81">
        <f t="shared" ref="T58" si="23">((O58-H58)/H58)</f>
        <v>2.5510204081632651E-3</v>
      </c>
      <c r="U58" s="82">
        <f t="shared" ref="U58" si="24">P58-I58</f>
        <v>3.3060000000000003E-3</v>
      </c>
      <c r="V58" s="84">
        <f t="shared" ref="V58" si="25">Q58-J58</f>
        <v>6.0000000000000157E-4</v>
      </c>
    </row>
    <row r="59" spans="1:22">
      <c r="A59" s="123">
        <v>48</v>
      </c>
      <c r="B59" s="120" t="s">
        <v>94</v>
      </c>
      <c r="C59" s="121" t="s">
        <v>21</v>
      </c>
      <c r="D59" s="2">
        <v>1062812205.04</v>
      </c>
      <c r="E59" s="3">
        <f>(D59/$D$89)</f>
        <v>3.5626847993102412E-3</v>
      </c>
      <c r="F59" s="14">
        <v>1.1477999999999999</v>
      </c>
      <c r="G59" s="14">
        <v>1.1477999999999999</v>
      </c>
      <c r="H59" s="60">
        <v>554</v>
      </c>
      <c r="I59" s="5">
        <v>0</v>
      </c>
      <c r="J59" s="5">
        <v>4.1300000000000003E-2</v>
      </c>
      <c r="K59" s="2">
        <v>1084898431.01</v>
      </c>
      <c r="L59" s="3">
        <f t="shared" si="20"/>
        <v>3.710535974110364E-3</v>
      </c>
      <c r="M59" s="14">
        <v>1.1444000000000001</v>
      </c>
      <c r="N59" s="14">
        <v>1.1444000000000001</v>
      </c>
      <c r="O59" s="60">
        <v>554</v>
      </c>
      <c r="P59" s="5">
        <v>-0.1545</v>
      </c>
      <c r="Q59" s="5">
        <v>3.6999999999999998E-2</v>
      </c>
      <c r="R59" s="81">
        <f t="shared" ref="R59:R89" si="26">((K59-D59)/D59)</f>
        <v>2.0780929937823579E-2</v>
      </c>
      <c r="S59" s="81">
        <f t="shared" ref="S59:S89" si="27">((N59-G59)/G59)</f>
        <v>-2.9621885345877748E-3</v>
      </c>
      <c r="T59" s="81">
        <f t="shared" ref="T59:T89" si="28">((O59-H59)/H59)</f>
        <v>0</v>
      </c>
      <c r="U59" s="82">
        <f t="shared" ref="U59:U89" si="29">P59-I59</f>
        <v>-0.1545</v>
      </c>
      <c r="V59" s="84">
        <f t="shared" ref="V59:V89" si="30">Q59-J59</f>
        <v>-4.3000000000000052E-3</v>
      </c>
    </row>
    <row r="60" spans="1:22">
      <c r="A60" s="127">
        <v>49</v>
      </c>
      <c r="B60" s="120" t="s">
        <v>95</v>
      </c>
      <c r="C60" s="121" t="s">
        <v>21</v>
      </c>
      <c r="D60" s="2">
        <v>987439645.13999999</v>
      </c>
      <c r="E60" s="3">
        <f>(D60/$D$89)</f>
        <v>3.3100261714101935E-3</v>
      </c>
      <c r="F60" s="14">
        <v>1.0575000000000001</v>
      </c>
      <c r="G60" s="14">
        <v>1.0575000000000001</v>
      </c>
      <c r="H60" s="60">
        <v>143</v>
      </c>
      <c r="I60" s="5">
        <v>6.9099999999999995E-2</v>
      </c>
      <c r="J60" s="5">
        <v>2.4299999999999999E-2</v>
      </c>
      <c r="K60" s="2">
        <v>990573875.76999998</v>
      </c>
      <c r="L60" s="3">
        <f t="shared" si="20"/>
        <v>3.3879300550160316E-3</v>
      </c>
      <c r="M60" s="14">
        <v>1.0590999999999999</v>
      </c>
      <c r="N60" s="14">
        <v>1.0590999999999999</v>
      </c>
      <c r="O60" s="60">
        <v>143</v>
      </c>
      <c r="P60" s="5">
        <v>7.8899999999999998E-2</v>
      </c>
      <c r="Q60" s="5">
        <v>2.5499999999999998E-2</v>
      </c>
      <c r="R60" s="81">
        <f t="shared" si="26"/>
        <v>3.1740984326749625E-3</v>
      </c>
      <c r="S60" s="81">
        <f t="shared" si="27"/>
        <v>1.5130023640660272E-3</v>
      </c>
      <c r="T60" s="81">
        <f t="shared" si="28"/>
        <v>0</v>
      </c>
      <c r="U60" s="82">
        <f t="shared" si="29"/>
        <v>9.8000000000000032E-3</v>
      </c>
      <c r="V60" s="84">
        <f t="shared" si="30"/>
        <v>1.1999999999999997E-3</v>
      </c>
    </row>
    <row r="61" spans="1:22">
      <c r="A61" s="127">
        <v>50</v>
      </c>
      <c r="B61" s="120" t="s">
        <v>96</v>
      </c>
      <c r="C61" s="121" t="s">
        <v>97</v>
      </c>
      <c r="D61" s="2">
        <v>255808357.59</v>
      </c>
      <c r="E61" s="3">
        <f>(D61/$D$89)</f>
        <v>8.5750289919573469E-4</v>
      </c>
      <c r="F61" s="7">
        <v>1122.56</v>
      </c>
      <c r="G61" s="7">
        <v>1122.56</v>
      </c>
      <c r="H61" s="60">
        <v>113</v>
      </c>
      <c r="I61" s="5">
        <v>1.4E-3</v>
      </c>
      <c r="J61" s="5">
        <v>4.82E-2</v>
      </c>
      <c r="K61" s="2">
        <v>254789217.69999999</v>
      </c>
      <c r="L61" s="3">
        <f t="shared" si="20"/>
        <v>8.7142218208496316E-4</v>
      </c>
      <c r="M61" s="7">
        <v>1117.99</v>
      </c>
      <c r="N61" s="7">
        <v>1117.99</v>
      </c>
      <c r="O61" s="60">
        <v>115</v>
      </c>
      <c r="P61" s="5">
        <v>-4.0000000000000001E-3</v>
      </c>
      <c r="Q61" s="5">
        <v>4.41E-2</v>
      </c>
      <c r="R61" s="81">
        <f t="shared" si="26"/>
        <v>-3.9839976285429048E-3</v>
      </c>
      <c r="S61" s="81">
        <f t="shared" si="27"/>
        <v>-4.0710518814138542E-3</v>
      </c>
      <c r="T61" s="81">
        <f t="shared" si="28"/>
        <v>1.7699115044247787E-2</v>
      </c>
      <c r="U61" s="82">
        <f t="shared" si="29"/>
        <v>-5.4000000000000003E-3</v>
      </c>
      <c r="V61" s="84">
        <f t="shared" si="30"/>
        <v>-4.0999999999999995E-3</v>
      </c>
    </row>
    <row r="62" spans="1:22" ht="15" customHeight="1">
      <c r="A62" s="127">
        <v>51</v>
      </c>
      <c r="B62" s="120" t="s">
        <v>98</v>
      </c>
      <c r="C62" s="121" t="s">
        <v>99</v>
      </c>
      <c r="D62" s="2">
        <v>1457110940.1800001</v>
      </c>
      <c r="E62" s="3">
        <f>(D62/$K$89)</f>
        <v>4.9835656567170658E-3</v>
      </c>
      <c r="F62" s="7">
        <v>1.0408999999999999</v>
      </c>
      <c r="G62" s="7">
        <v>1.0408999999999999</v>
      </c>
      <c r="H62" s="60">
        <v>783</v>
      </c>
      <c r="I62" s="5">
        <v>1.32E-2</v>
      </c>
      <c r="J62" s="5">
        <v>7.22E-2</v>
      </c>
      <c r="K62" s="2">
        <v>1481091103.8499999</v>
      </c>
      <c r="L62" s="3">
        <f t="shared" si="20"/>
        <v>5.0655818689441887E-3</v>
      </c>
      <c r="M62" s="7">
        <v>1.0425</v>
      </c>
      <c r="N62" s="7">
        <v>1.0425</v>
      </c>
      <c r="O62" s="60">
        <v>785</v>
      </c>
      <c r="P62" s="5">
        <v>1.4800000000000001E-2</v>
      </c>
      <c r="Q62" s="5">
        <v>7.3800000000000004E-2</v>
      </c>
      <c r="R62" s="81">
        <f t="shared" si="26"/>
        <v>1.6457335545801005E-2</v>
      </c>
      <c r="S62" s="81">
        <f t="shared" si="27"/>
        <v>1.5371313286579363E-3</v>
      </c>
      <c r="T62" s="81">
        <f t="shared" si="28"/>
        <v>2.554278416347382E-3</v>
      </c>
      <c r="U62" s="82">
        <f t="shared" si="29"/>
        <v>1.6000000000000007E-3</v>
      </c>
      <c r="V62" s="84">
        <f t="shared" si="30"/>
        <v>1.6000000000000042E-3</v>
      </c>
    </row>
    <row r="63" spans="1:22">
      <c r="A63" s="127">
        <v>52</v>
      </c>
      <c r="B63" s="120" t="s">
        <v>100</v>
      </c>
      <c r="C63" s="121" t="s">
        <v>101</v>
      </c>
      <c r="D63" s="2">
        <v>420972044.40987921</v>
      </c>
      <c r="E63" s="3">
        <f t="shared" ref="E63:E88" si="31">(D63/$D$89)</f>
        <v>1.4111530677211092E-3</v>
      </c>
      <c r="F63" s="7">
        <v>2.2121</v>
      </c>
      <c r="G63" s="7">
        <v>2.2121</v>
      </c>
      <c r="H63" s="60">
        <v>1400</v>
      </c>
      <c r="I63" s="5">
        <v>0.10630000000000001</v>
      </c>
      <c r="J63" s="5">
        <v>9.4799999999999995E-2</v>
      </c>
      <c r="K63" s="2">
        <v>413158855.03430551</v>
      </c>
      <c r="L63" s="3">
        <f t="shared" si="20"/>
        <v>1.4130731051014938E-3</v>
      </c>
      <c r="M63" s="7">
        <v>2.2149000000000001</v>
      </c>
      <c r="N63" s="7">
        <v>2.2149000000000001</v>
      </c>
      <c r="O63" s="60">
        <v>1399</v>
      </c>
      <c r="P63" s="5">
        <v>6.6000000000000003E-2</v>
      </c>
      <c r="Q63" s="5">
        <v>9.4200000000000006E-2</v>
      </c>
      <c r="R63" s="81">
        <f t="shared" si="26"/>
        <v>-1.8559877025863473E-2</v>
      </c>
      <c r="S63" s="81">
        <f t="shared" si="27"/>
        <v>1.2657655621355888E-3</v>
      </c>
      <c r="T63" s="81">
        <f t="shared" si="28"/>
        <v>-7.1428571428571429E-4</v>
      </c>
      <c r="U63" s="82">
        <f t="shared" si="29"/>
        <v>-4.0300000000000002E-2</v>
      </c>
      <c r="V63" s="84">
        <f t="shared" si="30"/>
        <v>-5.9999999999998943E-4</v>
      </c>
    </row>
    <row r="64" spans="1:22">
      <c r="A64" s="127">
        <v>53</v>
      </c>
      <c r="B64" s="120" t="s">
        <v>102</v>
      </c>
      <c r="C64" s="121" t="s">
        <v>56</v>
      </c>
      <c r="D64" s="2">
        <v>2586805310.3988099</v>
      </c>
      <c r="E64" s="3">
        <f t="shared" si="31"/>
        <v>8.671307983131411E-3</v>
      </c>
      <c r="F64" s="2">
        <v>3957.9333687263502</v>
      </c>
      <c r="G64" s="2">
        <v>3957.9333687263502</v>
      </c>
      <c r="H64" s="60">
        <v>1034</v>
      </c>
      <c r="I64" s="5">
        <v>7.4486548561490729E-2</v>
      </c>
      <c r="J64" s="5">
        <v>7.5299848862777935E-2</v>
      </c>
      <c r="K64" s="2">
        <v>2582227604.0762601</v>
      </c>
      <c r="L64" s="3">
        <f t="shared" si="20"/>
        <v>8.8316547838914339E-3</v>
      </c>
      <c r="M64" s="2">
        <v>3968.2332564711201</v>
      </c>
      <c r="N64" s="2">
        <v>3968.2332564711201</v>
      </c>
      <c r="O64" s="60">
        <v>1034</v>
      </c>
      <c r="P64" s="5">
        <v>0.13569343524239941</v>
      </c>
      <c r="Q64" s="5">
        <v>7.6780510191182871E-2</v>
      </c>
      <c r="R64" s="81">
        <f t="shared" si="26"/>
        <v>-1.7696369742816367E-3</v>
      </c>
      <c r="S64" s="81">
        <f t="shared" si="27"/>
        <v>2.6023398539638241E-3</v>
      </c>
      <c r="T64" s="81">
        <f t="shared" si="28"/>
        <v>0</v>
      </c>
      <c r="U64" s="82">
        <f t="shared" si="29"/>
        <v>6.1206886680908679E-2</v>
      </c>
      <c r="V64" s="84">
        <f t="shared" si="30"/>
        <v>1.4806613284049364E-3</v>
      </c>
    </row>
    <row r="65" spans="1:22">
      <c r="A65" s="127">
        <v>54</v>
      </c>
      <c r="B65" s="120" t="s">
        <v>103</v>
      </c>
      <c r="C65" s="121" t="s">
        <v>58</v>
      </c>
      <c r="D65" s="2">
        <v>323065342.55000001</v>
      </c>
      <c r="E65" s="3">
        <f t="shared" si="31"/>
        <v>1.0829570639372954E-3</v>
      </c>
      <c r="F65" s="14">
        <v>106.27</v>
      </c>
      <c r="G65" s="14">
        <v>106.27</v>
      </c>
      <c r="H65" s="60">
        <v>120</v>
      </c>
      <c r="I65" s="5">
        <v>2E-3</v>
      </c>
      <c r="J65" s="5">
        <v>0.1009</v>
      </c>
      <c r="K65" s="2">
        <v>324049385.31999999</v>
      </c>
      <c r="L65" s="3">
        <f t="shared" si="20"/>
        <v>1.1083036598170985E-3</v>
      </c>
      <c r="M65" s="14">
        <v>106.67</v>
      </c>
      <c r="N65" s="14">
        <v>106.67</v>
      </c>
      <c r="O65" s="60">
        <v>120</v>
      </c>
      <c r="P65" s="5">
        <v>3.8E-3</v>
      </c>
      <c r="Q65" s="5">
        <v>0.1032</v>
      </c>
      <c r="R65" s="81">
        <f t="shared" si="26"/>
        <v>3.0459558497757558E-3</v>
      </c>
      <c r="S65" s="81">
        <f t="shared" si="27"/>
        <v>3.7639973652018981E-3</v>
      </c>
      <c r="T65" s="81">
        <f t="shared" si="28"/>
        <v>0</v>
      </c>
      <c r="U65" s="82">
        <f t="shared" si="29"/>
        <v>1.8E-3</v>
      </c>
      <c r="V65" s="84">
        <f t="shared" si="30"/>
        <v>2.2999999999999965E-3</v>
      </c>
    </row>
    <row r="66" spans="1:22">
      <c r="A66" s="127">
        <v>55</v>
      </c>
      <c r="B66" s="120" t="s">
        <v>104</v>
      </c>
      <c r="C66" s="121" t="s">
        <v>105</v>
      </c>
      <c r="D66" s="2">
        <v>315000000</v>
      </c>
      <c r="E66" s="3">
        <f t="shared" si="31"/>
        <v>1.0559209862860855E-3</v>
      </c>
      <c r="F66" s="14">
        <v>1.3601000000000001</v>
      </c>
      <c r="G66" s="14">
        <v>1.3601000000000001</v>
      </c>
      <c r="H66" s="60">
        <v>305</v>
      </c>
      <c r="I66" s="5">
        <v>-3.7357163785525227E-3</v>
      </c>
      <c r="J66" s="5">
        <v>9.2258996774068347E-3</v>
      </c>
      <c r="K66" s="2">
        <v>314668206.70999998</v>
      </c>
      <c r="L66" s="3">
        <f t="shared" si="20"/>
        <v>1.0762184436189759E-3</v>
      </c>
      <c r="M66" s="14">
        <v>1.3683000000000001</v>
      </c>
      <c r="N66" s="14">
        <v>1.3683000000000001</v>
      </c>
      <c r="O66" s="60">
        <v>306</v>
      </c>
      <c r="P66" s="5">
        <v>6.0289684582015557E-3</v>
      </c>
      <c r="Q66" s="5">
        <v>1.5048522698069999E-2</v>
      </c>
      <c r="R66" s="81">
        <f t="shared" si="26"/>
        <v>-1.0533120317460999E-3</v>
      </c>
      <c r="S66" s="81">
        <f t="shared" si="27"/>
        <v>6.0289684582015913E-3</v>
      </c>
      <c r="T66" s="81">
        <f t="shared" si="28"/>
        <v>3.2786885245901639E-3</v>
      </c>
      <c r="U66" s="82">
        <f t="shared" si="29"/>
        <v>9.7646848367540784E-3</v>
      </c>
      <c r="V66" s="84">
        <f t="shared" si="30"/>
        <v>5.8226230206631646E-3</v>
      </c>
    </row>
    <row r="67" spans="1:22">
      <c r="A67" s="127">
        <v>56</v>
      </c>
      <c r="B67" s="120" t="s">
        <v>106</v>
      </c>
      <c r="C67" s="121" t="s">
        <v>25</v>
      </c>
      <c r="D67" s="2">
        <v>66286208.640000001</v>
      </c>
      <c r="E67" s="3">
        <f t="shared" si="31"/>
        <v>2.2219999620417153E-4</v>
      </c>
      <c r="F67" s="14">
        <v>110.83839999999999</v>
      </c>
      <c r="G67" s="14">
        <v>110.83839999999999</v>
      </c>
      <c r="H67" s="60">
        <v>80</v>
      </c>
      <c r="I67" s="5">
        <v>3.2899999999999997E-4</v>
      </c>
      <c r="J67" s="5">
        <v>8.7400000000000005E-2</v>
      </c>
      <c r="K67" s="2">
        <v>66486669.299999997</v>
      </c>
      <c r="L67" s="3">
        <f t="shared" si="20"/>
        <v>2.2739564477640504E-4</v>
      </c>
      <c r="M67" s="14">
        <v>111.0899</v>
      </c>
      <c r="N67" s="14">
        <v>111.0899</v>
      </c>
      <c r="O67" s="60">
        <v>81</v>
      </c>
      <c r="P67" s="5">
        <v>3.2899999999999997E-4</v>
      </c>
      <c r="Q67" s="5">
        <v>9.0499999999999997E-2</v>
      </c>
      <c r="R67" s="81">
        <f t="shared" si="26"/>
        <v>3.024168437339614E-3</v>
      </c>
      <c r="S67" s="81">
        <f t="shared" si="27"/>
        <v>2.2690692034530195E-3</v>
      </c>
      <c r="T67" s="81">
        <f t="shared" si="28"/>
        <v>1.2500000000000001E-2</v>
      </c>
      <c r="U67" s="82">
        <f t="shared" si="29"/>
        <v>0</v>
      </c>
      <c r="V67" s="84">
        <f t="shared" si="30"/>
        <v>3.0999999999999917E-3</v>
      </c>
    </row>
    <row r="68" spans="1:22">
      <c r="A68" s="127">
        <v>57</v>
      </c>
      <c r="B68" s="120" t="s">
        <v>107</v>
      </c>
      <c r="C68" s="121" t="s">
        <v>108</v>
      </c>
      <c r="D68" s="2">
        <v>1240974515.3</v>
      </c>
      <c r="E68" s="3">
        <f t="shared" si="31"/>
        <v>4.1599080449253104E-3</v>
      </c>
      <c r="F68" s="7">
        <v>1000</v>
      </c>
      <c r="G68" s="7">
        <v>1000</v>
      </c>
      <c r="H68" s="60">
        <v>260</v>
      </c>
      <c r="I68" s="5">
        <v>1.37019574458552E-6</v>
      </c>
      <c r="J68" s="5">
        <v>0.15190000000000001</v>
      </c>
      <c r="K68" s="2">
        <v>911509412.58000016</v>
      </c>
      <c r="L68" s="3">
        <f t="shared" si="20"/>
        <v>3.1175162295788419E-3</v>
      </c>
      <c r="M68" s="7">
        <v>1000</v>
      </c>
      <c r="N68" s="7">
        <v>1000</v>
      </c>
      <c r="O68" s="60">
        <v>263</v>
      </c>
      <c r="P68" s="5">
        <v>3.61450028022704E-3</v>
      </c>
      <c r="Q68" s="5">
        <v>0.15190000000000001</v>
      </c>
      <c r="R68" s="81">
        <f t="shared" si="26"/>
        <v>-0.2654890158162137</v>
      </c>
      <c r="S68" s="81">
        <f t="shared" si="27"/>
        <v>0</v>
      </c>
      <c r="T68" s="81">
        <f t="shared" si="28"/>
        <v>1.1538461538461539E-2</v>
      </c>
      <c r="U68" s="82">
        <f t="shared" si="29"/>
        <v>3.6131300844824544E-3</v>
      </c>
      <c r="V68" s="84">
        <f t="shared" si="30"/>
        <v>0</v>
      </c>
    </row>
    <row r="69" spans="1:22">
      <c r="A69" s="127">
        <v>58</v>
      </c>
      <c r="B69" s="120" t="s">
        <v>109</v>
      </c>
      <c r="C69" s="121" t="s">
        <v>64</v>
      </c>
      <c r="D69" s="2">
        <v>233416345.90000001</v>
      </c>
      <c r="E69" s="3">
        <f t="shared" si="31"/>
        <v>7.8244196246991132E-4</v>
      </c>
      <c r="F69" s="7">
        <v>1107.1400000000001</v>
      </c>
      <c r="G69" s="7">
        <v>1120.1099999999999</v>
      </c>
      <c r="H69" s="60">
        <v>82</v>
      </c>
      <c r="I69" s="5">
        <v>-1.5E-3</v>
      </c>
      <c r="J69" s="5">
        <v>6.7100000000000007E-2</v>
      </c>
      <c r="K69" s="2">
        <v>233036106.40000001</v>
      </c>
      <c r="L69" s="3">
        <f t="shared" si="20"/>
        <v>7.9702286531912244E-4</v>
      </c>
      <c r="M69" s="7">
        <v>1105.3399999999999</v>
      </c>
      <c r="N69" s="7">
        <v>1114.23</v>
      </c>
      <c r="O69" s="60">
        <v>79</v>
      </c>
      <c r="P69" s="5">
        <v>-3.5000000000000001E-3</v>
      </c>
      <c r="Q69" s="5">
        <v>6.3600000000000004E-2</v>
      </c>
      <c r="R69" s="81">
        <f t="shared" si="26"/>
        <v>-1.6290183043260467E-3</v>
      </c>
      <c r="S69" s="81">
        <f t="shared" si="27"/>
        <v>-5.2494844256366626E-3</v>
      </c>
      <c r="T69" s="81">
        <f t="shared" si="28"/>
        <v>-3.6585365853658534E-2</v>
      </c>
      <c r="U69" s="82">
        <f t="shared" si="29"/>
        <v>-2E-3</v>
      </c>
      <c r="V69" s="84">
        <f t="shared" si="30"/>
        <v>-3.5000000000000031E-3</v>
      </c>
    </row>
    <row r="70" spans="1:22">
      <c r="A70" s="127">
        <v>59</v>
      </c>
      <c r="B70" s="120" t="s">
        <v>110</v>
      </c>
      <c r="C70" s="121" t="s">
        <v>67</v>
      </c>
      <c r="D70" s="2">
        <v>741258654.32000005</v>
      </c>
      <c r="E70" s="3">
        <f t="shared" si="31"/>
        <v>2.4847954582941931E-3</v>
      </c>
      <c r="F70" s="15">
        <v>1.0920000000000001</v>
      </c>
      <c r="G70" s="15">
        <v>1.0920000000000001</v>
      </c>
      <c r="H70" s="60">
        <v>38</v>
      </c>
      <c r="I70" s="5">
        <v>-2.7464982147758579E-4</v>
      </c>
      <c r="J70" s="5">
        <v>9.5545973866795322E-2</v>
      </c>
      <c r="K70" s="2">
        <v>743241870.38999999</v>
      </c>
      <c r="L70" s="3">
        <f t="shared" si="20"/>
        <v>2.5420127992808825E-3</v>
      </c>
      <c r="M70" s="15">
        <v>1.0952999999999999</v>
      </c>
      <c r="N70" s="15">
        <v>1.0952999999999999</v>
      </c>
      <c r="O70" s="60">
        <v>38</v>
      </c>
      <c r="P70" s="5">
        <v>3.0219780219778924E-3</v>
      </c>
      <c r="Q70" s="5">
        <v>9.6946935511509638E-2</v>
      </c>
      <c r="R70" s="81">
        <f t="shared" si="26"/>
        <v>2.6754710497366853E-3</v>
      </c>
      <c r="S70" s="81">
        <f t="shared" si="27"/>
        <v>3.0219780219778924E-3</v>
      </c>
      <c r="T70" s="81">
        <f t="shared" si="28"/>
        <v>0</v>
      </c>
      <c r="U70" s="82">
        <f t="shared" si="29"/>
        <v>3.2966278434554781E-3</v>
      </c>
      <c r="V70" s="84">
        <f t="shared" si="30"/>
        <v>1.4009616447143158E-3</v>
      </c>
    </row>
    <row r="71" spans="1:22">
      <c r="A71" s="127">
        <v>60</v>
      </c>
      <c r="B71" s="120" t="s">
        <v>111</v>
      </c>
      <c r="C71" s="121" t="s">
        <v>27</v>
      </c>
      <c r="D71" s="2">
        <v>66042060712.239998</v>
      </c>
      <c r="E71" s="3">
        <f t="shared" si="31"/>
        <v>0.22138158058296503</v>
      </c>
      <c r="F71" s="15">
        <v>1525.48</v>
      </c>
      <c r="G71" s="2">
        <v>1525.48</v>
      </c>
      <c r="H71" s="60">
        <v>2448</v>
      </c>
      <c r="I71" s="5">
        <v>2.0999999999999999E-3</v>
      </c>
      <c r="J71" s="5">
        <v>0.1158</v>
      </c>
      <c r="K71" s="2">
        <v>66295180857.25</v>
      </c>
      <c r="L71" s="3">
        <f t="shared" si="20"/>
        <v>0.22674072194202619</v>
      </c>
      <c r="M71" s="15">
        <v>1529.5</v>
      </c>
      <c r="N71" s="2">
        <v>1529.5</v>
      </c>
      <c r="O71" s="60">
        <v>2454</v>
      </c>
      <c r="P71" s="5">
        <v>2.5999999999999999E-3</v>
      </c>
      <c r="Q71" s="5">
        <v>0.1177</v>
      </c>
      <c r="R71" s="81">
        <f t="shared" si="26"/>
        <v>3.832711188599991E-3</v>
      </c>
      <c r="S71" s="81">
        <f t="shared" si="27"/>
        <v>2.6352361224008061E-3</v>
      </c>
      <c r="T71" s="81">
        <f t="shared" si="28"/>
        <v>2.4509803921568627E-3</v>
      </c>
      <c r="U71" s="82">
        <f t="shared" si="29"/>
        <v>5.0000000000000001E-4</v>
      </c>
      <c r="V71" s="84">
        <f t="shared" si="30"/>
        <v>1.8999999999999989E-3</v>
      </c>
    </row>
    <row r="72" spans="1:22">
      <c r="A72" s="127">
        <v>61</v>
      </c>
      <c r="B72" s="120" t="s">
        <v>112</v>
      </c>
      <c r="C72" s="121" t="s">
        <v>72</v>
      </c>
      <c r="D72" s="2">
        <v>24802988.879999999</v>
      </c>
      <c r="E72" s="3">
        <f t="shared" si="31"/>
        <v>8.3142845971467965E-5</v>
      </c>
      <c r="F72" s="2">
        <v>0.75539999999999996</v>
      </c>
      <c r="G72" s="2">
        <v>0.75539999999999996</v>
      </c>
      <c r="H72" s="60">
        <v>733</v>
      </c>
      <c r="I72" s="5">
        <v>1.9E-3</v>
      </c>
      <c r="J72" s="5">
        <v>0.1055</v>
      </c>
      <c r="K72" s="2">
        <v>24850421.859999999</v>
      </c>
      <c r="L72" s="3">
        <f t="shared" si="20"/>
        <v>8.4992642304317848E-5</v>
      </c>
      <c r="M72" s="2">
        <v>0.75690000000000002</v>
      </c>
      <c r="N72" s="2">
        <v>0.75690000000000002</v>
      </c>
      <c r="O72" s="60">
        <v>748</v>
      </c>
      <c r="P72" s="5">
        <v>2E-3</v>
      </c>
      <c r="Q72" s="5">
        <v>0.1077</v>
      </c>
      <c r="R72" s="81">
        <f t="shared" si="26"/>
        <v>1.9123896813197478E-3</v>
      </c>
      <c r="S72" s="81">
        <f t="shared" si="27"/>
        <v>1.9857029388404249E-3</v>
      </c>
      <c r="T72" s="81">
        <f t="shared" si="28"/>
        <v>2.0463847203274217E-2</v>
      </c>
      <c r="U72" s="82">
        <f t="shared" si="29"/>
        <v>1.0000000000000005E-4</v>
      </c>
      <c r="V72" s="84">
        <f t="shared" si="30"/>
        <v>2.2000000000000075E-3</v>
      </c>
    </row>
    <row r="73" spans="1:22">
      <c r="A73" s="127">
        <v>62</v>
      </c>
      <c r="B73" s="120" t="s">
        <v>113</v>
      </c>
      <c r="C73" s="121" t="s">
        <v>114</v>
      </c>
      <c r="D73" s="2">
        <v>1075556941.47</v>
      </c>
      <c r="E73" s="3">
        <f t="shared" si="31"/>
        <v>3.6054068141074536E-3</v>
      </c>
      <c r="F73" s="2">
        <v>211.178755</v>
      </c>
      <c r="G73" s="2">
        <v>213.10270600000001</v>
      </c>
      <c r="H73" s="60">
        <v>487</v>
      </c>
      <c r="I73" s="5">
        <v>1.5E-3</v>
      </c>
      <c r="J73" s="5">
        <v>6.8400000000000002E-2</v>
      </c>
      <c r="K73" s="2">
        <v>1077045275.1199999</v>
      </c>
      <c r="L73" s="3">
        <f t="shared" si="20"/>
        <v>3.683676853839525E-3</v>
      </c>
      <c r="M73" s="2">
        <v>211.39979500000001</v>
      </c>
      <c r="N73" s="2">
        <v>213.410338</v>
      </c>
      <c r="O73" s="60">
        <v>487</v>
      </c>
      <c r="P73" s="5">
        <v>6.9999999999999999E-4</v>
      </c>
      <c r="Q73" s="5">
        <v>6.9900000000000004E-2</v>
      </c>
      <c r="R73" s="81">
        <f t="shared" si="26"/>
        <v>1.3837795030783781E-3</v>
      </c>
      <c r="S73" s="81">
        <f t="shared" si="27"/>
        <v>1.443585610780484E-3</v>
      </c>
      <c r="T73" s="81">
        <f t="shared" si="28"/>
        <v>0</v>
      </c>
      <c r="U73" s="82">
        <f t="shared" si="29"/>
        <v>-8.0000000000000004E-4</v>
      </c>
      <c r="V73" s="84">
        <f t="shared" si="30"/>
        <v>1.5000000000000013E-3</v>
      </c>
    </row>
    <row r="74" spans="1:22">
      <c r="A74" s="127">
        <v>63</v>
      </c>
      <c r="B74" s="120" t="s">
        <v>115</v>
      </c>
      <c r="C74" s="121" t="s">
        <v>34</v>
      </c>
      <c r="D74" s="2">
        <v>1223601251.1700001</v>
      </c>
      <c r="E74" s="3">
        <f t="shared" si="31"/>
        <v>4.1016706030359189E-3</v>
      </c>
      <c r="F74" s="14">
        <v>3.57</v>
      </c>
      <c r="G74" s="14">
        <v>3.57</v>
      </c>
      <c r="H74" s="61">
        <v>782</v>
      </c>
      <c r="I74" s="12">
        <v>5.8999999999999999E-3</v>
      </c>
      <c r="J74" s="12">
        <v>-4.8999999999999998E-3</v>
      </c>
      <c r="K74" s="2">
        <v>1224946428.6900001</v>
      </c>
      <c r="L74" s="3">
        <f t="shared" si="20"/>
        <v>4.1895237932834334E-3</v>
      </c>
      <c r="M74" s="14">
        <v>3.56</v>
      </c>
      <c r="N74" s="14">
        <v>3.56</v>
      </c>
      <c r="O74" s="61">
        <v>782</v>
      </c>
      <c r="P74" s="12">
        <v>7.1000000000000004E-3</v>
      </c>
      <c r="Q74" s="12">
        <v>-3.5999999999999999E-3</v>
      </c>
      <c r="R74" s="81">
        <f t="shared" si="26"/>
        <v>1.099359385840551E-3</v>
      </c>
      <c r="S74" s="81">
        <f t="shared" si="27"/>
        <v>-2.8011204481792123E-3</v>
      </c>
      <c r="T74" s="81">
        <f t="shared" si="28"/>
        <v>0</v>
      </c>
      <c r="U74" s="82">
        <f t="shared" si="29"/>
        <v>1.2000000000000005E-3</v>
      </c>
      <c r="V74" s="84">
        <f t="shared" si="30"/>
        <v>1.2999999999999999E-3</v>
      </c>
    </row>
    <row r="75" spans="1:22">
      <c r="A75" s="129">
        <v>64</v>
      </c>
      <c r="B75" s="121" t="s">
        <v>116</v>
      </c>
      <c r="C75" s="131" t="s">
        <v>40</v>
      </c>
      <c r="D75" s="2">
        <v>2168403179</v>
      </c>
      <c r="E75" s="3">
        <f t="shared" si="31"/>
        <v>7.2687695982081362E-3</v>
      </c>
      <c r="F75" s="14">
        <v>101.14</v>
      </c>
      <c r="G75" s="14">
        <v>101.14</v>
      </c>
      <c r="H75" s="60">
        <v>169</v>
      </c>
      <c r="I75" s="5">
        <v>1.9E-3</v>
      </c>
      <c r="J75" s="5">
        <v>0.1002</v>
      </c>
      <c r="K75" s="2">
        <v>1964680833</v>
      </c>
      <c r="L75" s="3">
        <f t="shared" si="20"/>
        <v>6.7195404658340974E-3</v>
      </c>
      <c r="M75" s="14">
        <v>101.46</v>
      </c>
      <c r="N75" s="14">
        <v>101.46</v>
      </c>
      <c r="O75" s="60">
        <v>169</v>
      </c>
      <c r="P75" s="5">
        <v>1.9E-3</v>
      </c>
      <c r="Q75" s="5">
        <v>0.1043</v>
      </c>
      <c r="R75" s="81">
        <f t="shared" si="26"/>
        <v>-9.3950399986938965E-2</v>
      </c>
      <c r="S75" s="81">
        <f t="shared" si="27"/>
        <v>3.1639311844966697E-3</v>
      </c>
      <c r="T75" s="81">
        <f t="shared" si="28"/>
        <v>0</v>
      </c>
      <c r="U75" s="82">
        <f t="shared" si="29"/>
        <v>0</v>
      </c>
      <c r="V75" s="84">
        <f t="shared" si="30"/>
        <v>4.1000000000000064E-3</v>
      </c>
    </row>
    <row r="76" spans="1:22">
      <c r="A76" s="127">
        <v>65</v>
      </c>
      <c r="B76" s="120" t="s">
        <v>117</v>
      </c>
      <c r="C76" s="121" t="s">
        <v>17</v>
      </c>
      <c r="D76" s="2">
        <v>1656000094.0699999</v>
      </c>
      <c r="E76" s="3">
        <f t="shared" si="31"/>
        <v>5.5511277860960141E-3</v>
      </c>
      <c r="F76" s="14">
        <v>342.59129999999999</v>
      </c>
      <c r="G76" s="14">
        <v>342.59129999999999</v>
      </c>
      <c r="H76" s="60">
        <v>102</v>
      </c>
      <c r="I76" s="5">
        <v>2.0999999999999999E-3</v>
      </c>
      <c r="J76" s="5">
        <v>0.14149999999999999</v>
      </c>
      <c r="K76" s="2">
        <v>1626693386.55</v>
      </c>
      <c r="L76" s="3">
        <f t="shared" si="20"/>
        <v>5.5635662815200024E-3</v>
      </c>
      <c r="M76" s="14">
        <v>336.82</v>
      </c>
      <c r="N76" s="14">
        <v>336.82</v>
      </c>
      <c r="O76" s="60">
        <v>102</v>
      </c>
      <c r="P76" s="5">
        <v>-1.6799999999999999E-2</v>
      </c>
      <c r="Q76" s="5">
        <v>0.1236</v>
      </c>
      <c r="R76" s="81">
        <f t="shared" si="26"/>
        <v>-1.7697286144454271E-2</v>
      </c>
      <c r="S76" s="81">
        <f t="shared" si="27"/>
        <v>-1.6846020316336103E-2</v>
      </c>
      <c r="T76" s="81">
        <f t="shared" si="28"/>
        <v>0</v>
      </c>
      <c r="U76" s="82">
        <f t="shared" si="29"/>
        <v>-1.89E-2</v>
      </c>
      <c r="V76" s="84">
        <f t="shared" si="30"/>
        <v>-1.7899999999999985E-2</v>
      </c>
    </row>
    <row r="77" spans="1:22">
      <c r="A77" s="127">
        <v>66</v>
      </c>
      <c r="B77" s="120" t="s">
        <v>118</v>
      </c>
      <c r="C77" s="121" t="s">
        <v>38</v>
      </c>
      <c r="D77" s="2">
        <v>54792111.079999998</v>
      </c>
      <c r="E77" s="3">
        <f t="shared" si="31"/>
        <v>1.8367028562631856E-4</v>
      </c>
      <c r="F77" s="14">
        <v>11.936745999999999</v>
      </c>
      <c r="G77" s="2">
        <v>12.13</v>
      </c>
      <c r="H77" s="60">
        <v>55</v>
      </c>
      <c r="I77" s="5">
        <v>2.0000000000000001E-4</v>
      </c>
      <c r="J77" s="5">
        <v>7.5300000000000006E-2</v>
      </c>
      <c r="K77" s="2">
        <v>54753009.219999999</v>
      </c>
      <c r="L77" s="3">
        <f t="shared" si="20"/>
        <v>1.8726454439838138E-4</v>
      </c>
      <c r="M77" s="14">
        <v>11.928228000000001</v>
      </c>
      <c r="N77" s="2">
        <v>12.126516000000001</v>
      </c>
      <c r="O77" s="60">
        <v>55</v>
      </c>
      <c r="P77" s="5">
        <v>2.0000000000000001E-4</v>
      </c>
      <c r="Q77" s="5">
        <v>7.4800000000000005E-2</v>
      </c>
      <c r="R77" s="81">
        <f t="shared" si="26"/>
        <v>-7.136403257561692E-4</v>
      </c>
      <c r="S77" s="81">
        <f t="shared" si="27"/>
        <v>-2.8722176422096163E-4</v>
      </c>
      <c r="T77" s="81">
        <f t="shared" si="28"/>
        <v>0</v>
      </c>
      <c r="U77" s="82">
        <f t="shared" si="29"/>
        <v>0</v>
      </c>
      <c r="V77" s="84">
        <f t="shared" si="30"/>
        <v>-5.0000000000000044E-4</v>
      </c>
    </row>
    <row r="78" spans="1:22">
      <c r="A78" s="127">
        <v>67</v>
      </c>
      <c r="B78" s="120" t="s">
        <v>237</v>
      </c>
      <c r="C78" s="121" t="s">
        <v>238</v>
      </c>
      <c r="D78" s="2">
        <v>138460979.99000001</v>
      </c>
      <c r="E78" s="3">
        <f t="shared" si="31"/>
        <v>4.6413922080374201E-4</v>
      </c>
      <c r="F78" s="2">
        <v>110.42</v>
      </c>
      <c r="G78" s="2">
        <v>110.42</v>
      </c>
      <c r="H78" s="60">
        <v>66</v>
      </c>
      <c r="I78" s="5">
        <v>-1.72E-2</v>
      </c>
      <c r="J78" s="5">
        <v>0.1105</v>
      </c>
      <c r="K78" s="2">
        <v>139362697.43000001</v>
      </c>
      <c r="L78" s="3">
        <f t="shared" si="20"/>
        <v>4.7664397650724096E-4</v>
      </c>
      <c r="M78" s="2">
        <v>110.67</v>
      </c>
      <c r="N78" s="2">
        <v>110.67</v>
      </c>
      <c r="O78" s="60">
        <v>68</v>
      </c>
      <c r="P78" s="5">
        <v>-5.0000000000000001E-4</v>
      </c>
      <c r="Q78" s="5">
        <v>0.1105</v>
      </c>
      <c r="R78" s="81">
        <f t="shared" ref="R78" si="32">((K78-D78)/D78)</f>
        <v>6.51243000060466E-3</v>
      </c>
      <c r="S78" s="81">
        <f t="shared" ref="S78" si="33">((N78-G78)/G78)</f>
        <v>2.2640825937330195E-3</v>
      </c>
      <c r="T78" s="81">
        <f t="shared" ref="T78" si="34">((O78-H78)/H78)</f>
        <v>3.0303030303030304E-2</v>
      </c>
      <c r="U78" s="82">
        <f t="shared" si="29"/>
        <v>1.67E-2</v>
      </c>
      <c r="V78" s="84">
        <f t="shared" si="30"/>
        <v>0</v>
      </c>
    </row>
    <row r="79" spans="1:22">
      <c r="A79" s="127">
        <v>68</v>
      </c>
      <c r="B79" s="120" t="s">
        <v>119</v>
      </c>
      <c r="C79" s="121" t="s">
        <v>120</v>
      </c>
      <c r="D79" s="2">
        <v>6871373364.6899996</v>
      </c>
      <c r="E79" s="3">
        <f t="shared" si="31"/>
        <v>2.3033737588518736E-2</v>
      </c>
      <c r="F79" s="14">
        <v>1.1000000000000001</v>
      </c>
      <c r="G79" s="14">
        <v>1.1000000000000001</v>
      </c>
      <c r="H79" s="60">
        <v>3589</v>
      </c>
      <c r="I79" s="5">
        <v>0</v>
      </c>
      <c r="J79" s="5">
        <v>0.10050000000000001</v>
      </c>
      <c r="K79" s="2">
        <v>6860974079.8800001</v>
      </c>
      <c r="L79" s="3">
        <f t="shared" si="20"/>
        <v>2.3465690808616203E-2</v>
      </c>
      <c r="M79" s="14">
        <v>1.1000000000000001</v>
      </c>
      <c r="N79" s="14">
        <v>1.1000000000000001</v>
      </c>
      <c r="O79" s="60">
        <v>3607</v>
      </c>
      <c r="P79" s="5">
        <v>0</v>
      </c>
      <c r="Q79" s="5">
        <v>0.1002</v>
      </c>
      <c r="R79" s="81">
        <f t="shared" si="26"/>
        <v>-1.5134215910080483E-3</v>
      </c>
      <c r="S79" s="81">
        <f t="shared" si="27"/>
        <v>0</v>
      </c>
      <c r="T79" s="81">
        <f t="shared" si="28"/>
        <v>5.0153246029534691E-3</v>
      </c>
      <c r="U79" s="82">
        <f t="shared" si="29"/>
        <v>0</v>
      </c>
      <c r="V79" s="84">
        <f t="shared" si="30"/>
        <v>-3.0000000000000859E-4</v>
      </c>
    </row>
    <row r="80" spans="1:22" ht="14.25" customHeight="1">
      <c r="A80" s="129">
        <v>69</v>
      </c>
      <c r="B80" s="120" t="s">
        <v>121</v>
      </c>
      <c r="C80" s="121" t="s">
        <v>42</v>
      </c>
      <c r="D80" s="2">
        <v>22199251971.25</v>
      </c>
      <c r="E80" s="3">
        <f t="shared" si="31"/>
        <v>7.4414781067605157E-2</v>
      </c>
      <c r="F80" s="2">
        <v>4950.3999999999996</v>
      </c>
      <c r="G80" s="2">
        <v>4950.3999999999996</v>
      </c>
      <c r="H80" s="60">
        <v>1136</v>
      </c>
      <c r="I80" s="5">
        <v>1.9E-3</v>
      </c>
      <c r="J80" s="5">
        <v>8.2799999999999999E-2</v>
      </c>
      <c r="K80" s="2">
        <v>22242602802.93</v>
      </c>
      <c r="L80" s="3">
        <f t="shared" si="20"/>
        <v>7.6073460426415759E-2</v>
      </c>
      <c r="M80" s="2">
        <v>4959.92</v>
      </c>
      <c r="N80" s="2">
        <v>4959.92</v>
      </c>
      <c r="O80" s="60">
        <v>1136</v>
      </c>
      <c r="P80" s="5">
        <v>1.9E-3</v>
      </c>
      <c r="Q80" s="5">
        <v>8.4900000000000003E-2</v>
      </c>
      <c r="R80" s="81">
        <f t="shared" si="26"/>
        <v>1.9528059655407974E-3</v>
      </c>
      <c r="S80" s="81">
        <f t="shared" si="27"/>
        <v>1.9230769230770114E-3</v>
      </c>
      <c r="T80" s="81">
        <f t="shared" si="28"/>
        <v>0</v>
      </c>
      <c r="U80" s="82">
        <f t="shared" si="29"/>
        <v>0</v>
      </c>
      <c r="V80" s="84">
        <f t="shared" si="30"/>
        <v>2.1000000000000046E-3</v>
      </c>
    </row>
    <row r="81" spans="1:29">
      <c r="A81" s="129">
        <v>70</v>
      </c>
      <c r="B81" s="120" t="s">
        <v>122</v>
      </c>
      <c r="C81" s="121" t="s">
        <v>42</v>
      </c>
      <c r="D81" s="2">
        <v>39660259321.57</v>
      </c>
      <c r="E81" s="3">
        <f t="shared" si="31"/>
        <v>0.13294634964823526</v>
      </c>
      <c r="F81" s="14">
        <v>255.3</v>
      </c>
      <c r="G81" s="14">
        <v>255.3</v>
      </c>
      <c r="H81" s="60">
        <v>11770</v>
      </c>
      <c r="I81" s="5">
        <v>4.0000000000000002E-4</v>
      </c>
      <c r="J81" s="5">
        <v>4.1700000000000001E-2</v>
      </c>
      <c r="K81" s="2">
        <v>36570103383.790001</v>
      </c>
      <c r="L81" s="3">
        <f>(K81/$K$89)</f>
        <v>0.12507593365782754</v>
      </c>
      <c r="M81" s="14">
        <v>255.36</v>
      </c>
      <c r="N81" s="14">
        <v>255.36</v>
      </c>
      <c r="O81" s="60">
        <v>11773</v>
      </c>
      <c r="P81" s="5">
        <v>2.0000000000000001E-4</v>
      </c>
      <c r="Q81" s="5">
        <v>4.2000000000000003E-2</v>
      </c>
      <c r="R81" s="81">
        <f t="shared" si="26"/>
        <v>-7.791567656491237E-2</v>
      </c>
      <c r="S81" s="81">
        <f t="shared" si="27"/>
        <v>2.3501762632198304E-4</v>
      </c>
      <c r="T81" s="81">
        <f t="shared" si="28"/>
        <v>2.5488530161427359E-4</v>
      </c>
      <c r="U81" s="82">
        <f t="shared" si="29"/>
        <v>-2.0000000000000001E-4</v>
      </c>
      <c r="V81" s="84">
        <f t="shared" si="30"/>
        <v>3.0000000000000165E-4</v>
      </c>
    </row>
    <row r="82" spans="1:29" ht="12.75" customHeight="1">
      <c r="A82" s="129">
        <v>71</v>
      </c>
      <c r="B82" s="120" t="s">
        <v>123</v>
      </c>
      <c r="C82" s="121" t="s">
        <v>42</v>
      </c>
      <c r="D82" s="2">
        <v>490993766.79000002</v>
      </c>
      <c r="E82" s="3">
        <f t="shared" si="31"/>
        <v>1.6458749920292605E-3</v>
      </c>
      <c r="F82" s="2">
        <v>5149.74</v>
      </c>
      <c r="G82" s="7">
        <v>5163.8999999999996</v>
      </c>
      <c r="H82" s="60">
        <v>1132</v>
      </c>
      <c r="I82" s="5">
        <v>6.9999999999999999E-4</v>
      </c>
      <c r="J82" s="5">
        <v>0.21249999999999999</v>
      </c>
      <c r="K82" s="2">
        <v>290593584.93000001</v>
      </c>
      <c r="L82" s="3">
        <f t="shared" si="20"/>
        <v>9.9387916869290928E-4</v>
      </c>
      <c r="M82" s="2">
        <v>5140.26</v>
      </c>
      <c r="N82" s="7">
        <v>5164.26</v>
      </c>
      <c r="O82" s="60">
        <v>1132</v>
      </c>
      <c r="P82" s="5">
        <v>1E-4</v>
      </c>
      <c r="Q82" s="5">
        <v>0.21260000000000001</v>
      </c>
      <c r="R82" s="81">
        <f t="shared" si="26"/>
        <v>-0.408152191361142</v>
      </c>
      <c r="S82" s="81">
        <f t="shared" si="27"/>
        <v>6.9714750479401636E-5</v>
      </c>
      <c r="T82" s="81">
        <f t="shared" si="28"/>
        <v>0</v>
      </c>
      <c r="U82" s="82">
        <f t="shared" si="29"/>
        <v>-5.9999999999999995E-4</v>
      </c>
      <c r="V82" s="84">
        <f t="shared" si="30"/>
        <v>1.0000000000001674E-4</v>
      </c>
    </row>
    <row r="83" spans="1:29" ht="12.75" customHeight="1">
      <c r="A83" s="129">
        <v>72</v>
      </c>
      <c r="B83" s="120" t="s">
        <v>124</v>
      </c>
      <c r="C83" s="121" t="s">
        <v>42</v>
      </c>
      <c r="D83" s="2">
        <v>18977391598.5</v>
      </c>
      <c r="E83" s="3">
        <f t="shared" si="31"/>
        <v>6.3614685885159963E-2</v>
      </c>
      <c r="F83" s="14">
        <v>124.58</v>
      </c>
      <c r="G83" s="14">
        <v>124.58</v>
      </c>
      <c r="H83" s="60">
        <v>5706</v>
      </c>
      <c r="I83" s="5">
        <v>1.6000000000000001E-3</v>
      </c>
      <c r="J83" s="5">
        <v>8.3299999999999999E-2</v>
      </c>
      <c r="K83" s="2">
        <v>18775311231.849998</v>
      </c>
      <c r="L83" s="3">
        <f t="shared" si="20"/>
        <v>6.4214737305906974E-2</v>
      </c>
      <c r="M83" s="14">
        <v>124.82</v>
      </c>
      <c r="N83" s="14">
        <v>124.82</v>
      </c>
      <c r="O83" s="60">
        <v>5711</v>
      </c>
      <c r="P83" s="5">
        <v>1.9E-3</v>
      </c>
      <c r="Q83" s="5">
        <v>8.5400000000000004E-2</v>
      </c>
      <c r="R83" s="81">
        <f t="shared" si="26"/>
        <v>-1.0648479565862689E-2</v>
      </c>
      <c r="S83" s="81">
        <f t="shared" si="27"/>
        <v>1.9264729491089653E-3</v>
      </c>
      <c r="T83" s="81">
        <f t="shared" si="28"/>
        <v>8.7627059235892044E-4</v>
      </c>
      <c r="U83" s="82">
        <f t="shared" si="29"/>
        <v>2.9999999999999992E-4</v>
      </c>
      <c r="V83" s="84">
        <f t="shared" si="30"/>
        <v>2.1000000000000046E-3</v>
      </c>
    </row>
    <row r="84" spans="1:29" ht="12.75" customHeight="1">
      <c r="A84" s="129">
        <v>73</v>
      </c>
      <c r="B84" s="120" t="s">
        <v>125</v>
      </c>
      <c r="C84" s="121" t="s">
        <v>42</v>
      </c>
      <c r="D84" s="2">
        <v>13711231248.559999</v>
      </c>
      <c r="E84" s="3">
        <f t="shared" si="31"/>
        <v>4.5961831184685935E-2</v>
      </c>
      <c r="F84" s="14">
        <v>349.14</v>
      </c>
      <c r="G84" s="14">
        <v>349.27</v>
      </c>
      <c r="H84" s="60">
        <v>17539</v>
      </c>
      <c r="I84" s="5">
        <v>1E-3</v>
      </c>
      <c r="J84" s="5">
        <v>5.04E-2</v>
      </c>
      <c r="K84" s="2">
        <v>13735068843.9</v>
      </c>
      <c r="L84" s="3">
        <f t="shared" si="20"/>
        <v>4.6976256574292746E-2</v>
      </c>
      <c r="M84" s="14">
        <v>349.79</v>
      </c>
      <c r="N84" s="14">
        <v>349.79</v>
      </c>
      <c r="O84" s="60">
        <v>17540</v>
      </c>
      <c r="P84" s="5">
        <v>1.9E-3</v>
      </c>
      <c r="Q84" s="5">
        <v>5.2400000000000002E-2</v>
      </c>
      <c r="R84" s="81">
        <f t="shared" si="26"/>
        <v>1.738545204866533E-3</v>
      </c>
      <c r="S84" s="81">
        <f t="shared" si="27"/>
        <v>1.4888195378934311E-3</v>
      </c>
      <c r="T84" s="81">
        <f t="shared" si="28"/>
        <v>5.7015793374764813E-5</v>
      </c>
      <c r="U84" s="82">
        <f t="shared" si="29"/>
        <v>8.9999999999999998E-4</v>
      </c>
      <c r="V84" s="84">
        <f t="shared" si="30"/>
        <v>2.0000000000000018E-3</v>
      </c>
    </row>
    <row r="85" spans="1:29">
      <c r="A85" s="127">
        <v>74</v>
      </c>
      <c r="B85" s="120" t="s">
        <v>126</v>
      </c>
      <c r="C85" s="121" t="s">
        <v>45</v>
      </c>
      <c r="D85" s="2">
        <v>101963557080.77</v>
      </c>
      <c r="E85" s="3">
        <f t="shared" si="31"/>
        <v>0.34179511034274357</v>
      </c>
      <c r="F85" s="2">
        <v>1.9340999999999999</v>
      </c>
      <c r="G85" s="2">
        <v>1.9340999999999999</v>
      </c>
      <c r="H85" s="60">
        <v>6094</v>
      </c>
      <c r="I85" s="5">
        <v>0.10199999999999999</v>
      </c>
      <c r="J85" s="5">
        <v>6.8900000000000003E-2</v>
      </c>
      <c r="K85" s="2">
        <v>99728476085.25</v>
      </c>
      <c r="L85" s="3">
        <f t="shared" si="20"/>
        <v>0.34108824160896439</v>
      </c>
      <c r="M85" s="2">
        <v>1.9368000000000001</v>
      </c>
      <c r="N85" s="2">
        <v>1.9368000000000001</v>
      </c>
      <c r="O85" s="60">
        <v>6097</v>
      </c>
      <c r="P85" s="5">
        <v>1.4E-3</v>
      </c>
      <c r="Q85" s="5">
        <v>6.1899999999999997E-2</v>
      </c>
      <c r="R85" s="81">
        <f t="shared" si="26"/>
        <v>-2.1920390573952751E-2</v>
      </c>
      <c r="S85" s="81">
        <f t="shared" si="27"/>
        <v>1.3959981386692244E-3</v>
      </c>
      <c r="T85" s="81">
        <f t="shared" si="28"/>
        <v>4.9228749589760423E-4</v>
      </c>
      <c r="U85" s="82">
        <f t="shared" si="29"/>
        <v>-0.10059999999999999</v>
      </c>
      <c r="V85" s="84">
        <f t="shared" si="30"/>
        <v>-7.0000000000000062E-3</v>
      </c>
    </row>
    <row r="86" spans="1:29">
      <c r="A86" s="127">
        <v>75</v>
      </c>
      <c r="B86" s="120" t="s">
        <v>242</v>
      </c>
      <c r="C86" s="120" t="s">
        <v>243</v>
      </c>
      <c r="D86" s="2">
        <v>77201139.840000004</v>
      </c>
      <c r="E86" s="3">
        <f t="shared" si="31"/>
        <v>2.5878826578496129E-4</v>
      </c>
      <c r="F86" s="2">
        <v>100.64099604892164</v>
      </c>
      <c r="G86" s="2">
        <v>100.64099604892164</v>
      </c>
      <c r="H86" s="60">
        <v>35</v>
      </c>
      <c r="I86" s="5">
        <v>1.0637179395729275E-3</v>
      </c>
      <c r="J86" s="5">
        <v>6.4000000000000003E-3</v>
      </c>
      <c r="K86" s="2">
        <v>79441090.280000001</v>
      </c>
      <c r="L86" s="3">
        <f t="shared" si="20"/>
        <v>2.7170195373226803E-4</v>
      </c>
      <c r="M86" s="2">
        <v>100.7533674867004</v>
      </c>
      <c r="N86" s="2">
        <v>100.7533674867004</v>
      </c>
      <c r="O86" s="60">
        <v>44</v>
      </c>
      <c r="P86" s="5">
        <v>1.0637179395729275E-3</v>
      </c>
      <c r="Q86" s="5">
        <v>7.4999999999999997E-3</v>
      </c>
      <c r="R86" s="81">
        <f t="shared" ref="R86" si="35">((K86-D86)/D86)</f>
        <v>2.9014473680599968E-2</v>
      </c>
      <c r="S86" s="81">
        <f t="shared" ref="S86" si="36">((N86-G86)/G86)</f>
        <v>1.1165572896768461E-3</v>
      </c>
      <c r="T86" s="81">
        <f t="shared" ref="T86" si="37">((O86-H86)/H86)</f>
        <v>0.25714285714285712</v>
      </c>
      <c r="U86" s="82">
        <f t="shared" ref="U86" si="38">P86-I86</f>
        <v>0</v>
      </c>
      <c r="V86" s="84">
        <f t="shared" ref="V86" si="39">Q86-J86</f>
        <v>1.0999999999999994E-3</v>
      </c>
    </row>
    <row r="87" spans="1:29" ht="15.75" customHeight="1">
      <c r="A87" s="127">
        <v>76</v>
      </c>
      <c r="B87" s="120" t="s">
        <v>127</v>
      </c>
      <c r="C87" s="121" t="s">
        <v>32</v>
      </c>
      <c r="D87" s="2">
        <v>9196264976.9004993</v>
      </c>
      <c r="E87" s="3">
        <f t="shared" si="31"/>
        <v>3.0827076776371299E-2</v>
      </c>
      <c r="F87" s="14">
        <v>1</v>
      </c>
      <c r="G87" s="14">
        <v>1</v>
      </c>
      <c r="H87" s="60">
        <v>5509</v>
      </c>
      <c r="I87" s="5">
        <v>0.06</v>
      </c>
      <c r="J87" s="5">
        <v>0.06</v>
      </c>
      <c r="K87" s="2">
        <v>9191986340.9206009</v>
      </c>
      <c r="L87" s="3">
        <f t="shared" si="20"/>
        <v>3.1438146665733913E-2</v>
      </c>
      <c r="M87" s="14">
        <v>1</v>
      </c>
      <c r="N87" s="14">
        <v>1</v>
      </c>
      <c r="O87" s="60">
        <v>5510</v>
      </c>
      <c r="P87" s="5">
        <v>0.06</v>
      </c>
      <c r="Q87" s="5">
        <v>0.06</v>
      </c>
      <c r="R87" s="81">
        <f t="shared" si="26"/>
        <v>-4.652580140574114E-4</v>
      </c>
      <c r="S87" s="81">
        <f t="shared" si="27"/>
        <v>0</v>
      </c>
      <c r="T87" s="81">
        <f t="shared" si="28"/>
        <v>1.8152114721365039E-4</v>
      </c>
      <c r="U87" s="82">
        <f t="shared" si="29"/>
        <v>0</v>
      </c>
      <c r="V87" s="84">
        <f t="shared" si="30"/>
        <v>0</v>
      </c>
    </row>
    <row r="88" spans="1:29">
      <c r="A88" s="127">
        <v>77</v>
      </c>
      <c r="B88" s="120" t="s">
        <v>128</v>
      </c>
      <c r="C88" s="121" t="s">
        <v>91</v>
      </c>
      <c r="D88" s="2">
        <v>2626419880.7600002</v>
      </c>
      <c r="E88" s="3">
        <f t="shared" si="31"/>
        <v>8.8041011774396254E-3</v>
      </c>
      <c r="F88" s="14">
        <v>25.210899999999999</v>
      </c>
      <c r="G88" s="14">
        <v>25.210899999999999</v>
      </c>
      <c r="H88" s="60">
        <v>1319</v>
      </c>
      <c r="I88" s="5">
        <v>0</v>
      </c>
      <c r="J88" s="5">
        <v>0.1053</v>
      </c>
      <c r="K88" s="2">
        <v>2631195540.6900001</v>
      </c>
      <c r="L88" s="3">
        <f t="shared" si="20"/>
        <v>8.9991334023406134E-3</v>
      </c>
      <c r="M88" s="14">
        <v>25.251999999999999</v>
      </c>
      <c r="N88" s="14">
        <v>25.251999999999999</v>
      </c>
      <c r="O88" s="60">
        <v>1319</v>
      </c>
      <c r="P88" s="5">
        <v>0</v>
      </c>
      <c r="Q88" s="5">
        <v>0.1051</v>
      </c>
      <c r="R88" s="81">
        <f t="shared" si="26"/>
        <v>1.8183154814598449E-3</v>
      </c>
      <c r="S88" s="81">
        <f t="shared" si="27"/>
        <v>1.6302472343311877E-3</v>
      </c>
      <c r="T88" s="81">
        <f t="shared" si="28"/>
        <v>0</v>
      </c>
      <c r="U88" s="82">
        <f t="shared" si="29"/>
        <v>0</v>
      </c>
      <c r="V88" s="84">
        <f t="shared" si="30"/>
        <v>-2.0000000000000573E-4</v>
      </c>
    </row>
    <row r="89" spans="1:29">
      <c r="A89" s="76"/>
      <c r="B89" s="19"/>
      <c r="C89" s="72" t="s">
        <v>46</v>
      </c>
      <c r="D89" s="59">
        <f>SUM(D58:D88)</f>
        <v>298317775753.20929</v>
      </c>
      <c r="E89" s="105">
        <f>(D89/$D$176)</f>
        <v>0.14769084436781538</v>
      </c>
      <c r="F89" s="30"/>
      <c r="G89" s="11"/>
      <c r="H89" s="66">
        <f>SUM(H58:H88)</f>
        <v>63975</v>
      </c>
      <c r="I89" s="12"/>
      <c r="J89" s="12"/>
      <c r="K89" s="59">
        <f>SUM(K58:K88)</f>
        <v>292383213255.36121</v>
      </c>
      <c r="L89" s="105">
        <f>(K89/$K$176)</f>
        <v>0.14447253744823393</v>
      </c>
      <c r="M89" s="30"/>
      <c r="N89" s="11"/>
      <c r="O89" s="66">
        <f>SUM(O58:O88)</f>
        <v>64044</v>
      </c>
      <c r="P89" s="12"/>
      <c r="Q89" s="12"/>
      <c r="R89" s="81">
        <f t="shared" si="26"/>
        <v>-1.9893425669537026E-2</v>
      </c>
      <c r="S89" s="81" t="e">
        <f t="shared" si="27"/>
        <v>#DIV/0!</v>
      </c>
      <c r="T89" s="81">
        <f t="shared" si="28"/>
        <v>1.078546307151231E-3</v>
      </c>
      <c r="U89" s="82">
        <f t="shared" si="29"/>
        <v>0</v>
      </c>
      <c r="V89" s="84">
        <f t="shared" si="30"/>
        <v>0</v>
      </c>
    </row>
    <row r="90" spans="1:29" ht="8.25" customHeight="1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</row>
    <row r="91" spans="1:29" ht="15" customHeight="1">
      <c r="A91" s="136" t="s">
        <v>129</v>
      </c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9">
      <c r="A92" s="137" t="s">
        <v>231</v>
      </c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Z92" s="99"/>
      <c r="AA92" s="99"/>
      <c r="AB92" s="108"/>
      <c r="AC92" s="99"/>
    </row>
    <row r="93" spans="1:29" ht="16.5" customHeight="1">
      <c r="A93" s="123">
        <v>78</v>
      </c>
      <c r="B93" s="120" t="s">
        <v>130</v>
      </c>
      <c r="C93" s="121" t="s">
        <v>17</v>
      </c>
      <c r="D93" s="2">
        <v>1465097267.2</v>
      </c>
      <c r="E93" s="3">
        <f>(D93/$D$116)</f>
        <v>2.2632210916546549E-3</v>
      </c>
      <c r="F93" s="2">
        <f>109.4549*820.683</f>
        <v>89827.775696700002</v>
      </c>
      <c r="G93" s="2">
        <f>109.4549*820.683</f>
        <v>89827.775696700002</v>
      </c>
      <c r="H93" s="60">
        <v>227</v>
      </c>
      <c r="I93" s="5">
        <v>1.1000000000000001E-3</v>
      </c>
      <c r="J93" s="5">
        <v>5.7500000000000002E-2</v>
      </c>
      <c r="K93" s="2">
        <v>1399401323.25</v>
      </c>
      <c r="L93" s="3">
        <f t="shared" ref="L93:L104" si="40">(K93/$K$116)</f>
        <v>2.1430452672451536E-3</v>
      </c>
      <c r="M93" s="2">
        <f>109.6154*806.108</f>
        <v>88361.850863199987</v>
      </c>
      <c r="N93" s="2">
        <f>109.6154*806.108</f>
        <v>88361.850863199987</v>
      </c>
      <c r="O93" s="60">
        <v>227</v>
      </c>
      <c r="P93" s="5">
        <v>1.5E-3</v>
      </c>
      <c r="Q93" s="5">
        <v>5.8999999999999997E-2</v>
      </c>
      <c r="R93" s="82">
        <f t="shared" ref="R93" si="41">((K93-D93)/D93)</f>
        <v>-4.4840670596262816E-2</v>
      </c>
      <c r="S93" s="82">
        <f t="shared" ref="S93" si="42">((N93-G93)/G93)</f>
        <v>-1.6319282339236074E-2</v>
      </c>
      <c r="T93" s="82">
        <f t="shared" ref="T93" si="43">((O93-H93)/H93)</f>
        <v>0</v>
      </c>
      <c r="U93" s="82">
        <f t="shared" ref="U93" si="44">P93-I93</f>
        <v>3.9999999999999996E-4</v>
      </c>
      <c r="V93" s="84">
        <f t="shared" ref="V93" si="45">Q93-J93</f>
        <v>1.4999999999999944E-3</v>
      </c>
      <c r="Z93" s="99"/>
      <c r="AA93" s="109"/>
      <c r="AB93" s="99"/>
      <c r="AC93" s="99"/>
    </row>
    <row r="94" spans="1:29">
      <c r="A94" s="123">
        <v>79</v>
      </c>
      <c r="B94" s="120" t="s">
        <v>131</v>
      </c>
      <c r="C94" s="121" t="s">
        <v>21</v>
      </c>
      <c r="D94" s="2">
        <f>10348875.51*840.042</f>
        <v>8693490081.1714211</v>
      </c>
      <c r="E94" s="3">
        <f>(D94/$D$116)</f>
        <v>1.3429340530680159E-2</v>
      </c>
      <c r="F94" s="2">
        <f>1.1672*840.042</f>
        <v>980.49702239999999</v>
      </c>
      <c r="G94" s="2">
        <f>1.1672*840.042</f>
        <v>980.49702239999999</v>
      </c>
      <c r="H94" s="60">
        <v>277</v>
      </c>
      <c r="I94" s="5">
        <v>5.8099999999999999E-2</v>
      </c>
      <c r="J94" s="5">
        <v>4.2299999999999997E-2</v>
      </c>
      <c r="K94" s="2">
        <f>10340321.2*805.608</f>
        <v>8330245481.2895985</v>
      </c>
      <c r="L94" s="3">
        <f t="shared" si="40"/>
        <v>1.2756950316588177E-2</v>
      </c>
      <c r="M94" s="2">
        <f>1.1683*805.608</f>
        <v>941.19182639999985</v>
      </c>
      <c r="N94" s="2">
        <f>1.1683*805.608</f>
        <v>941.19182639999985</v>
      </c>
      <c r="O94" s="60">
        <v>277</v>
      </c>
      <c r="P94" s="5">
        <v>4.9099999999999998E-2</v>
      </c>
      <c r="Q94" s="5">
        <v>4.2500000000000003E-2</v>
      </c>
      <c r="R94" s="82">
        <f t="shared" ref="R94:R104" si="46">((K94-D94)/D94)</f>
        <v>-4.1783518068140076E-2</v>
      </c>
      <c r="S94" s="82">
        <f t="shared" ref="S94:S104" si="47">((N94-G94)/G94)</f>
        <v>-4.0087012099018215E-2</v>
      </c>
      <c r="T94" s="82">
        <f t="shared" ref="T94:T104" si="48">((O94-H94)/H94)</f>
        <v>0</v>
      </c>
      <c r="U94" s="82">
        <f t="shared" ref="U94:U104" si="49">P94-I94</f>
        <v>-9.0000000000000011E-3</v>
      </c>
      <c r="V94" s="84">
        <f t="shared" ref="V94:V104" si="50">Q94-J94</f>
        <v>2.0000000000000573E-4</v>
      </c>
      <c r="Z94" s="99"/>
      <c r="AA94" s="99"/>
      <c r="AB94" s="99"/>
      <c r="AC94" s="99"/>
    </row>
    <row r="95" spans="1:29">
      <c r="A95" s="129">
        <v>80</v>
      </c>
      <c r="B95" s="120" t="s">
        <v>244</v>
      </c>
      <c r="C95" s="121" t="s">
        <v>25</v>
      </c>
      <c r="D95" s="2">
        <f>340250.84*820.683</f>
        <v>279238080.12371999</v>
      </c>
      <c r="E95" s="3">
        <v>0</v>
      </c>
      <c r="F95" s="2">
        <f>1.0905*820.683</f>
        <v>894.95481150000001</v>
      </c>
      <c r="G95" s="2">
        <f>1.0905*820.683</f>
        <v>894.95481150000001</v>
      </c>
      <c r="H95" s="60">
        <v>16</v>
      </c>
      <c r="I95" s="5">
        <v>1.83E-4</v>
      </c>
      <c r="J95" s="5">
        <v>9.0499999999999997E-2</v>
      </c>
      <c r="K95" s="2">
        <f>341113.81*808.108</f>
        <v>275656798.77147996</v>
      </c>
      <c r="L95" s="3">
        <f t="shared" si="40"/>
        <v>4.22141231522642E-4</v>
      </c>
      <c r="M95" s="2">
        <f>1.0916*806.108</f>
        <v>879.94749279999985</v>
      </c>
      <c r="N95" s="2">
        <f>1.0916*806.108</f>
        <v>879.94749279999985</v>
      </c>
      <c r="O95" s="60">
        <v>17</v>
      </c>
      <c r="P95" s="5">
        <v>1.83E-4</v>
      </c>
      <c r="Q95" s="5">
        <v>9.1999999999999998E-2</v>
      </c>
      <c r="R95" s="82"/>
      <c r="S95" s="82"/>
      <c r="T95" s="82"/>
      <c r="U95" s="82"/>
      <c r="V95" s="84"/>
      <c r="Z95" s="99"/>
      <c r="AA95" s="99"/>
      <c r="AB95" s="99"/>
      <c r="AC95" s="99"/>
    </row>
    <row r="96" spans="1:29">
      <c r="A96" s="129">
        <v>81</v>
      </c>
      <c r="B96" s="120" t="s">
        <v>140</v>
      </c>
      <c r="C96" s="121" t="s">
        <v>64</v>
      </c>
      <c r="D96" s="2">
        <f>276702.06*820.683</f>
        <v>227084676.70697999</v>
      </c>
      <c r="E96" s="3">
        <f t="shared" ref="E96:E104" si="51">(D96/$D$116)</f>
        <v>3.5079092796141124E-4</v>
      </c>
      <c r="F96" s="2">
        <f>101.210538*820.683</f>
        <v>83061.767957453994</v>
      </c>
      <c r="G96" s="2">
        <f>101.944361*820.683</f>
        <v>83664.004018563006</v>
      </c>
      <c r="H96" s="60">
        <v>29</v>
      </c>
      <c r="I96" s="5">
        <v>1.8E-3</v>
      </c>
      <c r="J96" s="5">
        <v>1.5800000000000002E-2</v>
      </c>
      <c r="K96" s="2">
        <f>286033.2*806.108</f>
        <v>230573650.78560001</v>
      </c>
      <c r="L96" s="3">
        <f t="shared" si="40"/>
        <v>3.5310083166131302E-4</v>
      </c>
      <c r="M96" s="2">
        <f>101.34*806.108</f>
        <v>81690.984719999993</v>
      </c>
      <c r="N96" s="2">
        <f>101.34*806.108</f>
        <v>81690.984719999993</v>
      </c>
      <c r="O96" s="60">
        <v>32</v>
      </c>
      <c r="P96" s="5">
        <v>5.9999999999999995E-4</v>
      </c>
      <c r="Q96" s="5">
        <v>1.6400000000000001E-2</v>
      </c>
      <c r="R96" s="82">
        <f t="shared" ref="R96" si="52">((K96-D96)/D96)</f>
        <v>1.5364198629403931E-2</v>
      </c>
      <c r="S96" s="82">
        <f t="shared" ref="S96" si="53">((N96-G96)/G96)</f>
        <v>-2.3582654472588331E-2</v>
      </c>
      <c r="T96" s="82">
        <f t="shared" ref="T96" si="54">((O96-H96)/H96)</f>
        <v>0.10344827586206896</v>
      </c>
      <c r="U96" s="82">
        <f t="shared" ref="U96" si="55">P96-I96</f>
        <v>-1.2000000000000001E-3</v>
      </c>
      <c r="V96" s="84">
        <f t="shared" ref="V96" si="56">Q96-J96</f>
        <v>5.9999999999999984E-4</v>
      </c>
      <c r="Z96" s="99"/>
      <c r="AA96" s="99"/>
      <c r="AB96" s="99"/>
      <c r="AC96" s="99"/>
    </row>
    <row r="97" spans="1:24">
      <c r="A97" s="129">
        <v>82</v>
      </c>
      <c r="B97" s="120" t="s">
        <v>132</v>
      </c>
      <c r="C97" s="121" t="s">
        <v>67</v>
      </c>
      <c r="D97" s="2">
        <v>2093645771.84061</v>
      </c>
      <c r="E97" s="3">
        <f t="shared" si="51"/>
        <v>3.2341765801931722E-3</v>
      </c>
      <c r="F97" s="2">
        <v>87513.531705000001</v>
      </c>
      <c r="G97" s="2">
        <v>87513.531705000001</v>
      </c>
      <c r="H97" s="60">
        <v>42</v>
      </c>
      <c r="I97" s="5">
        <v>1.2356413034701798E-3</v>
      </c>
      <c r="J97" s="5">
        <v>5.6803000979013585E-2</v>
      </c>
      <c r="K97" s="2">
        <v>2092794873.4765596</v>
      </c>
      <c r="L97" s="3">
        <f t="shared" si="40"/>
        <v>3.2049091810938887E-3</v>
      </c>
      <c r="M97" s="2">
        <v>86130.221475999992</v>
      </c>
      <c r="N97" s="2">
        <v>86130.221475999992</v>
      </c>
      <c r="O97" s="60">
        <v>44</v>
      </c>
      <c r="P97" s="5">
        <v>1.9880902142822626E-3</v>
      </c>
      <c r="Q97" s="5">
        <v>5.7837945927424944E-2</v>
      </c>
      <c r="R97" s="82">
        <f t="shared" si="46"/>
        <v>-4.0641945046048959E-4</v>
      </c>
      <c r="S97" s="82">
        <f t="shared" si="47"/>
        <v>-1.5806815266729494E-2</v>
      </c>
      <c r="T97" s="82">
        <f t="shared" si="48"/>
        <v>4.7619047619047616E-2</v>
      </c>
      <c r="U97" s="82">
        <f t="shared" si="49"/>
        <v>7.5244891081208284E-4</v>
      </c>
      <c r="V97" s="84">
        <f t="shared" si="50"/>
        <v>1.0349449484113593E-3</v>
      </c>
      <c r="X97" s="65">
        <v>806.10799999999995</v>
      </c>
    </row>
    <row r="98" spans="1:24">
      <c r="A98" s="129">
        <v>83</v>
      </c>
      <c r="B98" s="120" t="s">
        <v>133</v>
      </c>
      <c r="C98" s="121" t="s">
        <v>27</v>
      </c>
      <c r="D98" s="2">
        <v>22583583671.779999</v>
      </c>
      <c r="E98" s="3">
        <f t="shared" si="51"/>
        <v>3.4886177208426211E-2</v>
      </c>
      <c r="F98" s="2">
        <v>97258.57</v>
      </c>
      <c r="G98" s="2">
        <v>97258.57</v>
      </c>
      <c r="H98" s="60">
        <v>1967</v>
      </c>
      <c r="I98" s="5">
        <v>1.4E-3</v>
      </c>
      <c r="J98" s="5">
        <v>7.3899999999999993E-2</v>
      </c>
      <c r="K98" s="2">
        <v>22673147868.470001</v>
      </c>
      <c r="L98" s="3">
        <f t="shared" si="40"/>
        <v>3.4721692359293101E-2</v>
      </c>
      <c r="M98" s="2">
        <v>97787.37</v>
      </c>
      <c r="N98" s="2">
        <v>97787.37</v>
      </c>
      <c r="O98" s="60">
        <v>1971</v>
      </c>
      <c r="P98" s="5">
        <v>1.5E-3</v>
      </c>
      <c r="Q98" s="5">
        <v>7.46E-2</v>
      </c>
      <c r="R98" s="82">
        <f t="shared" si="46"/>
        <v>3.965898326487487E-3</v>
      </c>
      <c r="S98" s="82">
        <f t="shared" si="47"/>
        <v>5.4370530021157857E-3</v>
      </c>
      <c r="T98" s="82">
        <f t="shared" si="48"/>
        <v>2.0335536349771225E-3</v>
      </c>
      <c r="U98" s="82">
        <f t="shared" si="49"/>
        <v>1.0000000000000005E-4</v>
      </c>
      <c r="V98" s="84">
        <f t="shared" si="50"/>
        <v>7.0000000000000617E-4</v>
      </c>
    </row>
    <row r="99" spans="1:24">
      <c r="A99" s="129">
        <v>84</v>
      </c>
      <c r="B99" s="128" t="s">
        <v>134</v>
      </c>
      <c r="C99" s="128" t="s">
        <v>27</v>
      </c>
      <c r="D99" s="2">
        <v>21069429044.330002</v>
      </c>
      <c r="E99" s="3">
        <f t="shared" si="51"/>
        <v>3.2547174354765486E-2</v>
      </c>
      <c r="F99" s="2">
        <v>87520.05</v>
      </c>
      <c r="G99" s="2">
        <v>87520.05</v>
      </c>
      <c r="H99" s="60">
        <v>184</v>
      </c>
      <c r="I99" s="5">
        <v>2.3999999999999998E-3</v>
      </c>
      <c r="J99" s="5">
        <v>9.4899999999999998E-2</v>
      </c>
      <c r="K99" s="2">
        <v>21386021038.869999</v>
      </c>
      <c r="L99" s="3">
        <f t="shared" si="40"/>
        <v>3.2750584418568533E-2</v>
      </c>
      <c r="M99" s="2">
        <v>88042.02</v>
      </c>
      <c r="N99" s="2">
        <v>88042.02</v>
      </c>
      <c r="O99" s="60">
        <v>189</v>
      </c>
      <c r="P99" s="5">
        <v>2E-3</v>
      </c>
      <c r="Q99" s="5">
        <v>9.5299999999999996E-2</v>
      </c>
      <c r="R99" s="82">
        <f t="shared" si="46"/>
        <v>1.5026130697414188E-2</v>
      </c>
      <c r="S99" s="82">
        <f t="shared" si="47"/>
        <v>5.9640048194670951E-3</v>
      </c>
      <c r="T99" s="82">
        <f t="shared" si="48"/>
        <v>2.717391304347826E-2</v>
      </c>
      <c r="U99" s="82">
        <f t="shared" si="49"/>
        <v>-3.9999999999999975E-4</v>
      </c>
      <c r="V99" s="84">
        <f t="shared" si="50"/>
        <v>3.9999999999999758E-4</v>
      </c>
    </row>
    <row r="100" spans="1:24">
      <c r="A100" s="129">
        <v>85</v>
      </c>
      <c r="B100" s="120" t="s">
        <v>135</v>
      </c>
      <c r="C100" s="121" t="s">
        <v>31</v>
      </c>
      <c r="D100" s="2">
        <f>104535.08*820.683</f>
        <v>85790163.059640005</v>
      </c>
      <c r="E100" s="3">
        <f t="shared" si="51"/>
        <v>1.3252506221934294E-4</v>
      </c>
      <c r="F100" s="2">
        <f>108.47*820.683</f>
        <v>89019.485010000004</v>
      </c>
      <c r="G100" s="2">
        <f>108.47*820.683</f>
        <v>89019.485010000004</v>
      </c>
      <c r="H100" s="60">
        <v>3</v>
      </c>
      <c r="I100" s="5">
        <v>2E-3</v>
      </c>
      <c r="J100" s="5">
        <v>0.104</v>
      </c>
      <c r="K100" s="2">
        <f>90864.36*806.108</f>
        <v>73246487.510879993</v>
      </c>
      <c r="L100" s="3">
        <f t="shared" si="40"/>
        <v>1.1216977988699543E-4</v>
      </c>
      <c r="M100" s="2">
        <f>109.51*806.108</f>
        <v>88276.88708</v>
      </c>
      <c r="N100" s="2">
        <f>109.51*806.108</f>
        <v>88276.88708</v>
      </c>
      <c r="O100" s="60">
        <v>3</v>
      </c>
      <c r="P100" s="5">
        <v>2E-3</v>
      </c>
      <c r="Q100" s="5">
        <v>0.104</v>
      </c>
      <c r="R100" s="82">
        <f t="shared" si="46"/>
        <v>-0.14621344803879019</v>
      </c>
      <c r="S100" s="82">
        <f t="shared" si="47"/>
        <v>-8.3419706361655965E-3</v>
      </c>
      <c r="T100" s="82">
        <f t="shared" si="48"/>
        <v>0</v>
      </c>
      <c r="U100" s="82">
        <f t="shared" si="49"/>
        <v>0</v>
      </c>
      <c r="V100" s="84">
        <f t="shared" si="50"/>
        <v>0</v>
      </c>
    </row>
    <row r="101" spans="1:24">
      <c r="A101" s="129">
        <v>86</v>
      </c>
      <c r="B101" s="120" t="s">
        <v>136</v>
      </c>
      <c r="C101" s="121" t="s">
        <v>34</v>
      </c>
      <c r="D101" s="2">
        <f>12795788.2*820.683</f>
        <v>10501285847.340599</v>
      </c>
      <c r="E101" s="3">
        <f t="shared" si="51"/>
        <v>1.6221947956136198E-2</v>
      </c>
      <c r="F101" s="2">
        <f>1.26*820.683</f>
        <v>1034.0605800000001</v>
      </c>
      <c r="G101" s="2">
        <f>1.28*820.683</f>
        <v>1050.47424</v>
      </c>
      <c r="H101" s="61">
        <v>119</v>
      </c>
      <c r="I101" s="12">
        <v>2.9100000000000001E-2</v>
      </c>
      <c r="J101" s="12">
        <v>5.2400000000000002E-2</v>
      </c>
      <c r="K101" s="2">
        <f>12812167.65*806.108</f>
        <v>10327990840.006199</v>
      </c>
      <c r="L101" s="3">
        <f t="shared" si="40"/>
        <v>1.5816300529446128E-2</v>
      </c>
      <c r="M101" s="2">
        <f>1.32*806.108</f>
        <v>1064.0625600000001</v>
      </c>
      <c r="N101" s="2">
        <f>1.32*806.108</f>
        <v>1064.0625600000001</v>
      </c>
      <c r="O101" s="61">
        <v>119</v>
      </c>
      <c r="P101" s="12">
        <v>3.0099999999999998E-2</v>
      </c>
      <c r="Q101" s="12">
        <v>5.2400000000000002E-2</v>
      </c>
      <c r="R101" s="82">
        <f t="shared" si="46"/>
        <v>-1.6502265518111413E-2</v>
      </c>
      <c r="S101" s="82">
        <f t="shared" si="47"/>
        <v>1.2935414770380344E-2</v>
      </c>
      <c r="T101" s="82">
        <f t="shared" si="48"/>
        <v>0</v>
      </c>
      <c r="U101" s="82">
        <f t="shared" si="49"/>
        <v>9.9999999999999742E-4</v>
      </c>
      <c r="V101" s="84">
        <f t="shared" si="50"/>
        <v>0</v>
      </c>
    </row>
    <row r="102" spans="1:24">
      <c r="A102" s="129">
        <v>87</v>
      </c>
      <c r="B102" s="120" t="s">
        <v>137</v>
      </c>
      <c r="C102" s="121" t="s">
        <v>78</v>
      </c>
      <c r="D102" s="2">
        <f>7694705.4*820.683</f>
        <v>6314913911.7882004</v>
      </c>
      <c r="E102" s="3">
        <f t="shared" si="51"/>
        <v>9.755015367994304E-3</v>
      </c>
      <c r="F102" s="2">
        <f>102.74*820.683</f>
        <v>84316.971420000002</v>
      </c>
      <c r="G102" s="2">
        <f>102.74*820.683</f>
        <v>84316.971420000002</v>
      </c>
      <c r="H102" s="60">
        <v>208</v>
      </c>
      <c r="I102" s="5">
        <v>1.8E-3</v>
      </c>
      <c r="J102" s="5">
        <v>8.3900000000000002E-2</v>
      </c>
      <c r="K102" s="2">
        <f>7744526.18*806.108</f>
        <v>6242924509.9074392</v>
      </c>
      <c r="L102" s="3">
        <f t="shared" si="40"/>
        <v>9.5604238773009959E-3</v>
      </c>
      <c r="M102" s="2">
        <f>102.95*806.108</f>
        <v>82988.818599999999</v>
      </c>
      <c r="N102" s="2">
        <f>102.95*806.108</f>
        <v>82988.818599999999</v>
      </c>
      <c r="O102" s="60">
        <v>213</v>
      </c>
      <c r="P102" s="5">
        <v>2E-3</v>
      </c>
      <c r="Q102" s="5">
        <v>8.5900000000000004E-2</v>
      </c>
      <c r="R102" s="82">
        <f t="shared" si="46"/>
        <v>-1.1399902340137498E-2</v>
      </c>
      <c r="S102" s="82">
        <f t="shared" si="47"/>
        <v>-1.5751903770169867E-2</v>
      </c>
      <c r="T102" s="82">
        <f t="shared" si="48"/>
        <v>2.403846153846154E-2</v>
      </c>
      <c r="U102" s="82">
        <f t="shared" si="49"/>
        <v>2.0000000000000009E-4</v>
      </c>
      <c r="V102" s="84">
        <f t="shared" si="50"/>
        <v>2.0000000000000018E-3</v>
      </c>
    </row>
    <row r="103" spans="1:24">
      <c r="A103" s="129">
        <v>88</v>
      </c>
      <c r="B103" s="120" t="s">
        <v>138</v>
      </c>
      <c r="C103" s="121" t="s">
        <v>38</v>
      </c>
      <c r="D103" s="2">
        <f>1797637.37*820.683</f>
        <v>1475290429.7237101</v>
      </c>
      <c r="E103" s="3">
        <f t="shared" si="51"/>
        <v>2.2789670635643654E-3</v>
      </c>
      <c r="F103" s="2">
        <f>128.65*820.683</f>
        <v>105580.86795</v>
      </c>
      <c r="G103" s="2">
        <f>131.61*820.683</f>
        <v>108010.08963000002</v>
      </c>
      <c r="H103" s="60">
        <v>45</v>
      </c>
      <c r="I103" s="5">
        <v>4.0000000000000002E-4</v>
      </c>
      <c r="J103" s="5">
        <v>0.15429999999999999</v>
      </c>
      <c r="K103" s="2">
        <f>1797143.64*806.108</f>
        <v>1448691865.3531199</v>
      </c>
      <c r="L103" s="3">
        <f t="shared" si="40"/>
        <v>2.2185288767137493E-3</v>
      </c>
      <c r="M103" s="2">
        <f>128.61*806.108</f>
        <v>103673.54988000001</v>
      </c>
      <c r="N103" s="2">
        <f>131.61*806.108</f>
        <v>106091.87388</v>
      </c>
      <c r="O103" s="60">
        <v>45</v>
      </c>
      <c r="P103" s="5">
        <v>4.0000000000000002E-4</v>
      </c>
      <c r="Q103" s="5">
        <v>0.1542</v>
      </c>
      <c r="R103" s="82">
        <f t="shared" si="46"/>
        <v>-1.8029374985894502E-2</v>
      </c>
      <c r="S103" s="82">
        <f t="shared" si="47"/>
        <v>-1.7759597798419281E-2</v>
      </c>
      <c r="T103" s="82">
        <f t="shared" si="48"/>
        <v>0</v>
      </c>
      <c r="U103" s="82">
        <f t="shared" si="49"/>
        <v>0</v>
      </c>
      <c r="V103" s="84">
        <f t="shared" si="50"/>
        <v>-9.9999999999988987E-5</v>
      </c>
    </row>
    <row r="104" spans="1:24" ht="16.5" customHeight="1">
      <c r="A104" s="129">
        <v>89</v>
      </c>
      <c r="B104" s="120" t="s">
        <v>139</v>
      </c>
      <c r="C104" s="121" t="s">
        <v>45</v>
      </c>
      <c r="D104" s="2">
        <v>116943846995.91</v>
      </c>
      <c r="E104" s="3">
        <f t="shared" si="51"/>
        <v>0.18064997252107248</v>
      </c>
      <c r="F104" s="2">
        <v>97808.28</v>
      </c>
      <c r="G104" s="2">
        <v>97808.28</v>
      </c>
      <c r="H104" s="60">
        <v>2956</v>
      </c>
      <c r="I104" s="5">
        <v>5.4699999999999999E-2</v>
      </c>
      <c r="J104" s="5">
        <v>5.57E-2</v>
      </c>
      <c r="K104" s="2">
        <v>117447198105.27</v>
      </c>
      <c r="L104" s="3">
        <f t="shared" si="40"/>
        <v>0.17985881381486887</v>
      </c>
      <c r="M104" s="2">
        <v>98296.34</v>
      </c>
      <c r="N104" s="2">
        <v>98296.34</v>
      </c>
      <c r="O104" s="60">
        <v>2966</v>
      </c>
      <c r="P104" s="5">
        <v>1E-3</v>
      </c>
      <c r="Q104" s="5">
        <v>4.99E-2</v>
      </c>
      <c r="R104" s="82">
        <f t="shared" si="46"/>
        <v>4.3042119982388202E-3</v>
      </c>
      <c r="S104" s="82">
        <f t="shared" si="47"/>
        <v>4.9899660846709267E-3</v>
      </c>
      <c r="T104" s="82">
        <f t="shared" si="48"/>
        <v>3.3829499323410014E-3</v>
      </c>
      <c r="U104" s="82">
        <f t="shared" si="49"/>
        <v>-5.3699999999999998E-2</v>
      </c>
      <c r="V104" s="84">
        <f t="shared" si="50"/>
        <v>-5.7999999999999996E-3</v>
      </c>
    </row>
    <row r="105" spans="1:24" ht="6" customHeight="1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</row>
    <row r="106" spans="1:24">
      <c r="A106" s="137" t="s">
        <v>232</v>
      </c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</row>
    <row r="107" spans="1:24">
      <c r="A107" s="127">
        <v>90</v>
      </c>
      <c r="B107" s="120" t="s">
        <v>141</v>
      </c>
      <c r="C107" s="121" t="s">
        <v>97</v>
      </c>
      <c r="D107" s="4">
        <v>746120584.71000004</v>
      </c>
      <c r="E107" s="3">
        <f>(D107/$D$116)</f>
        <v>1.1525759292832403E-3</v>
      </c>
      <c r="F107" s="2">
        <v>78038.179999999993</v>
      </c>
      <c r="G107" s="2">
        <v>78038.179999999993</v>
      </c>
      <c r="H107" s="60">
        <v>27</v>
      </c>
      <c r="I107" s="5">
        <v>1.6500000000000001E-2</v>
      </c>
      <c r="J107" s="5">
        <v>0.1191</v>
      </c>
      <c r="K107" s="4">
        <v>748515532.35000002</v>
      </c>
      <c r="L107" s="3">
        <f t="shared" ref="L107:L115" si="57">(K107/$K$116)</f>
        <v>1.146277799235427E-3</v>
      </c>
      <c r="M107" s="2">
        <v>78291.28</v>
      </c>
      <c r="N107" s="2">
        <v>78291.28</v>
      </c>
      <c r="O107" s="60">
        <v>27</v>
      </c>
      <c r="P107" s="5">
        <v>3.2000000000000002E-3</v>
      </c>
      <c r="Q107" s="5">
        <v>0.1226</v>
      </c>
      <c r="R107" s="82">
        <f t="shared" ref="R107" si="58">((K107-D107)/D107)</f>
        <v>3.2098667280850411E-3</v>
      </c>
      <c r="S107" s="82">
        <f t="shared" ref="S107" si="59">((N107-G107)/G107)</f>
        <v>3.2432842488126432E-3</v>
      </c>
      <c r="T107" s="82">
        <f t="shared" ref="T107" si="60">((O107-H107)/H107)</f>
        <v>0</v>
      </c>
      <c r="U107" s="82">
        <f t="shared" ref="U107" si="61">P107-I107</f>
        <v>-1.3300000000000001E-2</v>
      </c>
      <c r="V107" s="84">
        <f t="shared" ref="V107" si="62">Q107-J107</f>
        <v>3.5000000000000031E-3</v>
      </c>
    </row>
    <row r="108" spans="1:24">
      <c r="A108" s="127">
        <v>91</v>
      </c>
      <c r="B108" s="121" t="s">
        <v>142</v>
      </c>
      <c r="C108" s="121" t="s">
        <v>23</v>
      </c>
      <c r="D108" s="2">
        <f>6541887.93*820.683</f>
        <v>5368816212.0561895</v>
      </c>
      <c r="E108" s="3">
        <f>(D108/$K$116)</f>
        <v>8.2218131302285603E-3</v>
      </c>
      <c r="F108" s="4">
        <f>130.83*820.683</f>
        <v>107369.95689000002</v>
      </c>
      <c r="G108" s="4">
        <f>130.83*820.683</f>
        <v>107369.95689000002</v>
      </c>
      <c r="H108" s="60">
        <v>333</v>
      </c>
      <c r="I108" s="5">
        <v>5.0000000000000001E-4</v>
      </c>
      <c r="J108" s="5">
        <v>5.2299999999999999E-2</v>
      </c>
      <c r="K108" s="2">
        <f>6565326.54*806.108</f>
        <v>5292362246.50632</v>
      </c>
      <c r="L108" s="3">
        <f t="shared" si="57"/>
        <v>8.1047314137033411E-3</v>
      </c>
      <c r="M108" s="4">
        <f>130.97*806.108</f>
        <v>105575.96475999999</v>
      </c>
      <c r="N108" s="4">
        <f>130.97*806.108</f>
        <v>105575.96475999999</v>
      </c>
      <c r="O108" s="60">
        <v>333</v>
      </c>
      <c r="P108" s="5">
        <v>5.0000000000000001E-4</v>
      </c>
      <c r="Q108" s="5">
        <v>5.3400000000000003E-2</v>
      </c>
      <c r="R108" s="82">
        <f t="shared" ref="R108:R116" si="63">((K108-D108)/D108)</f>
        <v>-1.4240376747891808E-2</v>
      </c>
      <c r="S108" s="82">
        <f t="shared" ref="S108:S116" si="64">((N108-G108)/G108)</f>
        <v>-1.6708511225705006E-2</v>
      </c>
      <c r="T108" s="82">
        <f t="shared" ref="T108:T116" si="65">((O108-H108)/H108)</f>
        <v>0</v>
      </c>
      <c r="U108" s="82">
        <f t="shared" ref="U108:U116" si="66">P108-I108</f>
        <v>0</v>
      </c>
      <c r="V108" s="84">
        <f t="shared" ref="V108:V116" si="67">Q108-J108</f>
        <v>1.1000000000000038E-3</v>
      </c>
    </row>
    <row r="109" spans="1:24">
      <c r="A109" s="129">
        <v>92</v>
      </c>
      <c r="B109" s="120" t="s">
        <v>143</v>
      </c>
      <c r="C109" s="121" t="s">
        <v>58</v>
      </c>
      <c r="D109" s="4">
        <v>11018456424.700001</v>
      </c>
      <c r="E109" s="3">
        <f t="shared" ref="E109:E115" si="68">(D109/$D$116)</f>
        <v>1.7020851472555925E-2</v>
      </c>
      <c r="F109" s="4" t="s">
        <v>247</v>
      </c>
      <c r="G109" s="4" t="s">
        <v>248</v>
      </c>
      <c r="H109" s="60">
        <v>561</v>
      </c>
      <c r="I109" s="5">
        <v>1.1000000000000001E-3</v>
      </c>
      <c r="J109" s="5">
        <v>6.2E-2</v>
      </c>
      <c r="K109" s="4">
        <v>11016296587.059999</v>
      </c>
      <c r="L109" s="3">
        <f t="shared" si="57"/>
        <v>1.6870372973950859E-2</v>
      </c>
      <c r="M109" s="4">
        <v>113260.7</v>
      </c>
      <c r="N109" s="4">
        <v>113260.7</v>
      </c>
      <c r="O109" s="60">
        <v>561</v>
      </c>
      <c r="P109" s="5">
        <v>-1E-4</v>
      </c>
      <c r="Q109" s="5">
        <v>6.0499999999999998E-2</v>
      </c>
      <c r="R109" s="82">
        <f t="shared" si="63"/>
        <v>-1.9601998290428443E-4</v>
      </c>
      <c r="S109" s="82" t="e">
        <f t="shared" si="64"/>
        <v>#VALUE!</v>
      </c>
      <c r="T109" s="82">
        <f t="shared" si="65"/>
        <v>0</v>
      </c>
      <c r="U109" s="82">
        <f t="shared" si="66"/>
        <v>-1.2000000000000001E-3</v>
      </c>
      <c r="V109" s="84">
        <f t="shared" si="67"/>
        <v>-1.5000000000000013E-3</v>
      </c>
    </row>
    <row r="110" spans="1:24">
      <c r="A110" s="129">
        <v>93</v>
      </c>
      <c r="B110" s="120" t="s">
        <v>144</v>
      </c>
      <c r="C110" s="121" t="s">
        <v>56</v>
      </c>
      <c r="D110" s="4">
        <v>3095104897.099978</v>
      </c>
      <c r="E110" s="3">
        <f t="shared" si="68"/>
        <v>4.7811888267238461E-3</v>
      </c>
      <c r="F110" s="4">
        <v>973.71347903282106</v>
      </c>
      <c r="G110" s="4">
        <v>973.71347903282106</v>
      </c>
      <c r="H110" s="60">
        <v>160</v>
      </c>
      <c r="I110" s="5">
        <v>4.9290529510398563E-2</v>
      </c>
      <c r="J110" s="5">
        <v>5.8271484419820913E-2</v>
      </c>
      <c r="K110" s="4">
        <v>3459711208.7924871</v>
      </c>
      <c r="L110" s="3">
        <f t="shared" si="57"/>
        <v>5.2982068895137081E-3</v>
      </c>
      <c r="M110" s="4">
        <v>1089.2893156976277</v>
      </c>
      <c r="N110" s="4">
        <v>1089.2893156976277</v>
      </c>
      <c r="O110" s="60">
        <v>159</v>
      </c>
      <c r="P110" s="5">
        <v>5.6416077388612838E-2</v>
      </c>
      <c r="Q110" s="5">
        <v>5.8293588763141661E-2</v>
      </c>
      <c r="R110" s="82">
        <f t="shared" si="63"/>
        <v>0.11780095467334065</v>
      </c>
      <c r="S110" s="82">
        <f t="shared" si="64"/>
        <v>0.11869593997980477</v>
      </c>
      <c r="T110" s="82">
        <f t="shared" si="65"/>
        <v>-6.2500000000000003E-3</v>
      </c>
      <c r="U110" s="82">
        <f t="shared" si="66"/>
        <v>7.125547878214275E-3</v>
      </c>
      <c r="V110" s="84">
        <f t="shared" si="67"/>
        <v>2.2104343320748787E-5</v>
      </c>
    </row>
    <row r="111" spans="1:24">
      <c r="A111" s="129">
        <v>94</v>
      </c>
      <c r="B111" s="121" t="s">
        <v>145</v>
      </c>
      <c r="C111" s="131" t="s">
        <v>40</v>
      </c>
      <c r="D111" s="2">
        <v>9129259740.1700001</v>
      </c>
      <c r="E111" s="3">
        <f t="shared" si="68"/>
        <v>1.4102499306843591E-2</v>
      </c>
      <c r="F111" s="4">
        <f>1.0275*820.683</f>
        <v>843.2517825000001</v>
      </c>
      <c r="G111" s="4">
        <f>1.0275*820.683</f>
        <v>843.2517825000001</v>
      </c>
      <c r="H111" s="60">
        <v>384</v>
      </c>
      <c r="I111" s="5">
        <v>1.5E-3</v>
      </c>
      <c r="J111" s="5">
        <v>9.2200000000000004E-2</v>
      </c>
      <c r="K111" s="2">
        <v>9256153812.5200005</v>
      </c>
      <c r="L111" s="3">
        <f t="shared" si="57"/>
        <v>1.4174887711800779E-2</v>
      </c>
      <c r="M111" s="4">
        <f>1.0293*806.108</f>
        <v>829.72696440000004</v>
      </c>
      <c r="N111" s="4">
        <f>1.0293*806.108</f>
        <v>829.72696440000004</v>
      </c>
      <c r="O111" s="60">
        <v>389</v>
      </c>
      <c r="P111" s="5">
        <v>1.5E-3</v>
      </c>
      <c r="Q111" s="5">
        <v>9.1200000000000003E-2</v>
      </c>
      <c r="R111" s="82">
        <f t="shared" si="63"/>
        <v>1.3899711034800444E-2</v>
      </c>
      <c r="S111" s="82">
        <f t="shared" si="64"/>
        <v>-1.6038884685073359E-2</v>
      </c>
      <c r="T111" s="82">
        <f t="shared" si="65"/>
        <v>1.3020833333333334E-2</v>
      </c>
      <c r="U111" s="82">
        <f t="shared" si="66"/>
        <v>0</v>
      </c>
      <c r="V111" s="84">
        <f t="shared" si="67"/>
        <v>-1.0000000000000009E-3</v>
      </c>
    </row>
    <row r="112" spans="1:24">
      <c r="A112" s="129">
        <v>95</v>
      </c>
      <c r="B112" s="120" t="s">
        <v>146</v>
      </c>
      <c r="C112" s="121" t="s">
        <v>80</v>
      </c>
      <c r="D112" s="4">
        <v>196910362.72999999</v>
      </c>
      <c r="E112" s="3">
        <f t="shared" si="68"/>
        <v>3.0417890748482904E-4</v>
      </c>
      <c r="F112" s="4">
        <f>0.97*820.683</f>
        <v>796.06250999999997</v>
      </c>
      <c r="G112" s="4">
        <f>0.97*820.683</f>
        <v>796.06250999999997</v>
      </c>
      <c r="H112" s="60">
        <v>3</v>
      </c>
      <c r="I112" s="5">
        <v>1.9796999999999999E-2</v>
      </c>
      <c r="J112" s="5">
        <v>0.12921199999999999</v>
      </c>
      <c r="K112" s="4">
        <v>198833472.38999999</v>
      </c>
      <c r="L112" s="3">
        <f t="shared" si="57"/>
        <v>3.0449387527067953E-4</v>
      </c>
      <c r="M112" s="4">
        <f>0.98*806.108</f>
        <v>789.98583999999994</v>
      </c>
      <c r="N112" s="4">
        <f>0.98*806.108</f>
        <v>789.98583999999994</v>
      </c>
      <c r="O112" s="60">
        <v>3</v>
      </c>
      <c r="P112" s="5">
        <v>5.7809999999999997E-3</v>
      </c>
      <c r="Q112" s="5">
        <v>0.13574</v>
      </c>
      <c r="R112" s="82">
        <f t="shared" si="63"/>
        <v>9.766421804000891E-3</v>
      </c>
      <c r="S112" s="82">
        <f t="shared" si="64"/>
        <v>-7.6334080850008071E-3</v>
      </c>
      <c r="T112" s="82">
        <f t="shared" si="65"/>
        <v>0</v>
      </c>
      <c r="U112" s="82">
        <f t="shared" si="66"/>
        <v>-1.4015999999999999E-2</v>
      </c>
      <c r="V112" s="84">
        <f t="shared" si="67"/>
        <v>6.528000000000006E-3</v>
      </c>
    </row>
    <row r="113" spans="1:22">
      <c r="A113" s="129">
        <v>96</v>
      </c>
      <c r="B113" s="120" t="s">
        <v>147</v>
      </c>
      <c r="C113" s="121" t="s">
        <v>42</v>
      </c>
      <c r="D113" s="2">
        <v>384981752121.34998</v>
      </c>
      <c r="E113" s="3">
        <f t="shared" si="68"/>
        <v>0.59470373797664233</v>
      </c>
      <c r="F113" s="4">
        <v>1149.54</v>
      </c>
      <c r="G113" s="4">
        <v>1149.54</v>
      </c>
      <c r="H113" s="60">
        <v>9688</v>
      </c>
      <c r="I113" s="5">
        <v>1.4E-3</v>
      </c>
      <c r="J113" s="5">
        <v>6.3799999999999996E-2</v>
      </c>
      <c r="K113" s="2">
        <v>389027237487.94</v>
      </c>
      <c r="L113" s="3">
        <f t="shared" si="57"/>
        <v>0.59575688994760734</v>
      </c>
      <c r="M113" s="4">
        <v>1155.77</v>
      </c>
      <c r="N113" s="4">
        <v>1155.77</v>
      </c>
      <c r="O113" s="60">
        <v>9742</v>
      </c>
      <c r="P113" s="5">
        <v>1.4E-3</v>
      </c>
      <c r="Q113" s="5">
        <v>6.54E-2</v>
      </c>
      <c r="R113" s="82">
        <f t="shared" si="63"/>
        <v>1.0508252259485927E-2</v>
      </c>
      <c r="S113" s="82">
        <f t="shared" si="64"/>
        <v>5.4195591279990419E-3</v>
      </c>
      <c r="T113" s="82">
        <f t="shared" si="65"/>
        <v>5.5739058629232039E-3</v>
      </c>
      <c r="U113" s="82">
        <f t="shared" si="66"/>
        <v>0</v>
      </c>
      <c r="V113" s="84">
        <f t="shared" si="67"/>
        <v>1.6000000000000042E-3</v>
      </c>
    </row>
    <row r="114" spans="1:22" ht="16.5" customHeight="1">
      <c r="A114" s="129">
        <v>97</v>
      </c>
      <c r="B114" s="120" t="s">
        <v>148</v>
      </c>
      <c r="C114" s="121" t="s">
        <v>45</v>
      </c>
      <c r="D114" s="2">
        <v>18894620378.91</v>
      </c>
      <c r="E114" s="3">
        <f t="shared" si="68"/>
        <v>2.9187620725061019E-2</v>
      </c>
      <c r="F114" s="4">
        <v>848.99</v>
      </c>
      <c r="G114" s="4">
        <v>848.99</v>
      </c>
      <c r="H114" s="60">
        <v>131</v>
      </c>
      <c r="I114" s="5">
        <v>0.1076</v>
      </c>
      <c r="J114" s="5">
        <v>8.3699999999999997E-2</v>
      </c>
      <c r="K114" s="2">
        <v>19877676745.830002</v>
      </c>
      <c r="L114" s="3">
        <f t="shared" si="57"/>
        <v>3.0440703725395764E-2</v>
      </c>
      <c r="M114" s="4">
        <v>854.03</v>
      </c>
      <c r="N114" s="4">
        <v>854.03</v>
      </c>
      <c r="O114" s="60">
        <v>136</v>
      </c>
      <c r="P114" s="5">
        <v>1.9E-3</v>
      </c>
      <c r="Q114" s="5">
        <v>7.4399999999999994E-2</v>
      </c>
      <c r="R114" s="82">
        <f t="shared" si="63"/>
        <v>5.2028373537331314E-2</v>
      </c>
      <c r="S114" s="82">
        <f t="shared" si="64"/>
        <v>5.9364656827524042E-3</v>
      </c>
      <c r="T114" s="82">
        <f t="shared" si="65"/>
        <v>3.8167938931297711E-2</v>
      </c>
      <c r="U114" s="82">
        <f t="shared" si="66"/>
        <v>-0.1057</v>
      </c>
      <c r="V114" s="84">
        <f t="shared" si="67"/>
        <v>-9.3000000000000027E-3</v>
      </c>
    </row>
    <row r="115" spans="1:22">
      <c r="A115" s="129">
        <v>98</v>
      </c>
      <c r="B115" s="120" t="s">
        <v>149</v>
      </c>
      <c r="C115" s="121" t="s">
        <v>32</v>
      </c>
      <c r="D115" s="4">
        <v>22186746505.89571</v>
      </c>
      <c r="E115" s="3">
        <f t="shared" si="68"/>
        <v>3.4273159722223244E-2</v>
      </c>
      <c r="F115" s="4">
        <f>1.1159*820.683</f>
        <v>915.80015969999988</v>
      </c>
      <c r="G115" s="4">
        <f>1.1159*820.683</f>
        <v>915.80015969999988</v>
      </c>
      <c r="H115" s="60">
        <v>976</v>
      </c>
      <c r="I115" s="5">
        <v>6.9999999999999999E-4</v>
      </c>
      <c r="J115" s="5">
        <v>6.1100000000000002E-2</v>
      </c>
      <c r="K115" s="4">
        <v>22191943438.249157</v>
      </c>
      <c r="L115" s="3">
        <f t="shared" si="57"/>
        <v>3.3984775179332745E-2</v>
      </c>
      <c r="M115" s="4">
        <f>1.1162*806.108</f>
        <v>899.77774959999999</v>
      </c>
      <c r="N115" s="4">
        <f>1.1162*806.108</f>
        <v>899.77774959999999</v>
      </c>
      <c r="O115" s="60">
        <v>976</v>
      </c>
      <c r="P115" s="5">
        <v>2.9999999999999997E-4</v>
      </c>
      <c r="Q115" s="5">
        <v>6.1100000000000002E-2</v>
      </c>
      <c r="R115" s="82">
        <f t="shared" si="63"/>
        <v>2.3423589177737139E-4</v>
      </c>
      <c r="S115" s="82">
        <f t="shared" si="64"/>
        <v>-1.7495531017649692E-2</v>
      </c>
      <c r="T115" s="82">
        <f t="shared" si="65"/>
        <v>0</v>
      </c>
      <c r="U115" s="82">
        <f t="shared" si="66"/>
        <v>-4.0000000000000002E-4</v>
      </c>
      <c r="V115" s="84">
        <f t="shared" si="67"/>
        <v>0</v>
      </c>
    </row>
    <row r="116" spans="1:22">
      <c r="A116" s="76"/>
      <c r="B116" s="19"/>
      <c r="C116" s="67" t="s">
        <v>46</v>
      </c>
      <c r="D116" s="59">
        <f>SUM(D93:D115)</f>
        <v>647350483168.5968</v>
      </c>
      <c r="E116" s="105">
        <f>(D116/$D$176)</f>
        <v>0.32048958269311173</v>
      </c>
      <c r="F116" s="30"/>
      <c r="G116" s="11"/>
      <c r="H116" s="66">
        <f>SUM(H93:H115)</f>
        <v>18336</v>
      </c>
      <c r="I116" s="33"/>
      <c r="J116" s="33"/>
      <c r="K116" s="59">
        <f>SUM(K93:K115)</f>
        <v>652996623374.59875</v>
      </c>
      <c r="L116" s="105">
        <f>(K116/$K$176)</f>
        <v>0.32265901340123254</v>
      </c>
      <c r="M116" s="30"/>
      <c r="N116" s="11"/>
      <c r="O116" s="66">
        <f>SUM(O93:O115)</f>
        <v>18429</v>
      </c>
      <c r="P116" s="33"/>
      <c r="Q116" s="33"/>
      <c r="R116" s="82">
        <f t="shared" si="63"/>
        <v>8.7219216680980913E-3</v>
      </c>
      <c r="S116" s="82" t="e">
        <f t="shared" si="64"/>
        <v>#DIV/0!</v>
      </c>
      <c r="T116" s="82">
        <f t="shared" si="65"/>
        <v>5.0719895287958117E-3</v>
      </c>
      <c r="U116" s="82">
        <f t="shared" si="66"/>
        <v>0</v>
      </c>
      <c r="V116" s="84">
        <f t="shared" si="67"/>
        <v>0</v>
      </c>
    </row>
    <row r="117" spans="1:22" ht="8.25" customHeight="1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</row>
    <row r="118" spans="1:22" ht="15.75">
      <c r="A118" s="136" t="s">
        <v>150</v>
      </c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</row>
    <row r="119" spans="1:22">
      <c r="A119" s="125">
        <v>99</v>
      </c>
      <c r="B119" s="120" t="s">
        <v>249</v>
      </c>
      <c r="C119" s="121" t="s">
        <v>250</v>
      </c>
      <c r="D119" s="2">
        <v>2159135234.4099998</v>
      </c>
      <c r="E119" s="3">
        <f>(D119/$D$124)</f>
        <v>2.260132975465538E-2</v>
      </c>
      <c r="F119" s="14">
        <v>101.75</v>
      </c>
      <c r="G119" s="14">
        <v>101.75</v>
      </c>
      <c r="H119" s="60">
        <v>8</v>
      </c>
      <c r="I119" s="5">
        <v>1.1999999999999999E-3</v>
      </c>
      <c r="J119" s="5">
        <v>1.78E-2</v>
      </c>
      <c r="K119" s="2">
        <v>2162121859.4332252</v>
      </c>
      <c r="L119" s="3">
        <f>(K119/$K$124)</f>
        <v>2.2564280639344379E-2</v>
      </c>
      <c r="M119" s="14">
        <v>101.89</v>
      </c>
      <c r="N119" s="14">
        <v>101.89</v>
      </c>
      <c r="O119" s="60">
        <v>8</v>
      </c>
      <c r="P119" s="5">
        <v>1.4E-3</v>
      </c>
      <c r="Q119" s="5">
        <v>1.89E-2</v>
      </c>
      <c r="R119" s="82">
        <f t="shared" ref="R119" si="69">((K119-D119)/D119)</f>
        <v>1.383250560514995E-3</v>
      </c>
      <c r="S119" s="82">
        <f t="shared" ref="S119" si="70">((N119-G119)/G119)</f>
        <v>1.3759213759213815E-3</v>
      </c>
      <c r="T119" s="82">
        <f t="shared" ref="T119" si="71">((O119-H119)/H119)</f>
        <v>0</v>
      </c>
      <c r="U119" s="82">
        <f t="shared" ref="U119" si="72">P119-I119</f>
        <v>2.0000000000000009E-4</v>
      </c>
      <c r="V119" s="84">
        <f t="shared" ref="V119" si="73">Q119-J119</f>
        <v>1.1000000000000003E-3</v>
      </c>
    </row>
    <row r="120" spans="1:22">
      <c r="A120" s="129">
        <v>100</v>
      </c>
      <c r="B120" s="120" t="s">
        <v>151</v>
      </c>
      <c r="C120" s="121" t="s">
        <v>40</v>
      </c>
      <c r="D120" s="2">
        <v>54330953714</v>
      </c>
      <c r="E120" s="3">
        <f>(D120/$D$124)</f>
        <v>0.5687238951989867</v>
      </c>
      <c r="F120" s="14">
        <v>101.33</v>
      </c>
      <c r="G120" s="14">
        <v>101.33</v>
      </c>
      <c r="H120" s="60">
        <v>675</v>
      </c>
      <c r="I120" s="5">
        <v>0</v>
      </c>
      <c r="J120" s="5">
        <v>7.6999999999999999E-2</v>
      </c>
      <c r="K120" s="2">
        <v>54330953714</v>
      </c>
      <c r="L120" s="3">
        <f>(K120/$K$124)</f>
        <v>0.56700730426327184</v>
      </c>
      <c r="M120" s="14">
        <v>101.79</v>
      </c>
      <c r="N120" s="14">
        <v>101.79</v>
      </c>
      <c r="O120" s="60">
        <v>675</v>
      </c>
      <c r="P120" s="5">
        <v>0</v>
      </c>
      <c r="Q120" s="5">
        <v>7.6999999999999999E-2</v>
      </c>
      <c r="R120" s="82">
        <f t="shared" ref="R120" si="74">((K120-D120)/D120)</f>
        <v>0</v>
      </c>
      <c r="S120" s="82">
        <f t="shared" ref="S120" si="75">((N120-G120)/G120)</f>
        <v>4.5396230139150102E-3</v>
      </c>
      <c r="T120" s="82">
        <f t="shared" ref="T120" si="76">((O120-H120)/H120)</f>
        <v>0</v>
      </c>
      <c r="U120" s="82">
        <f t="shared" ref="U120" si="77">P120-I120</f>
        <v>0</v>
      </c>
      <c r="V120" s="84">
        <f t="shared" ref="V120" si="78">Q120-J120</f>
        <v>0</v>
      </c>
    </row>
    <row r="121" spans="1:22" ht="17.25" customHeight="1">
      <c r="A121" s="123">
        <v>101</v>
      </c>
      <c r="B121" s="120" t="s">
        <v>152</v>
      </c>
      <c r="C121" s="121" t="s">
        <v>120</v>
      </c>
      <c r="D121" s="2">
        <v>2558299115.5999999</v>
      </c>
      <c r="E121" s="3">
        <f>(D121/$D$124)</f>
        <v>2.6779685218984831E-2</v>
      </c>
      <c r="F121" s="14">
        <v>92.15</v>
      </c>
      <c r="G121" s="14">
        <v>92.15</v>
      </c>
      <c r="H121" s="60">
        <v>2743</v>
      </c>
      <c r="I121" s="5">
        <v>0.1333</v>
      </c>
      <c r="J121" s="5">
        <v>0.153</v>
      </c>
      <c r="K121" s="2">
        <v>2564824042.1199999</v>
      </c>
      <c r="L121" s="3">
        <f>(K121/$K$124)</f>
        <v>2.6766950819369698E-2</v>
      </c>
      <c r="M121" s="14">
        <v>92.15</v>
      </c>
      <c r="N121" s="14">
        <v>92.15</v>
      </c>
      <c r="O121" s="60">
        <v>2743</v>
      </c>
      <c r="P121" s="5">
        <v>0.13300000000000001</v>
      </c>
      <c r="Q121" s="5">
        <v>0.1532</v>
      </c>
      <c r="R121" s="82">
        <f t="shared" ref="R121:R124" si="79">((K121-D121)/D121)</f>
        <v>2.5504939904064678E-3</v>
      </c>
      <c r="S121" s="82">
        <f t="shared" ref="S121:S124" si="80">((N121-G121)/G121)</f>
        <v>0</v>
      </c>
      <c r="T121" s="82">
        <f t="shared" ref="T121:T124" si="81">((O121-H121)/H121)</f>
        <v>0</v>
      </c>
      <c r="U121" s="82">
        <f t="shared" ref="U121:U124" si="82">P121-I121</f>
        <v>-2.9999999999999472E-4</v>
      </c>
      <c r="V121" s="84">
        <f t="shared" ref="V121:V124" si="83">Q121-J121</f>
        <v>2.0000000000000573E-4</v>
      </c>
    </row>
    <row r="122" spans="1:22">
      <c r="A122" s="124">
        <v>102</v>
      </c>
      <c r="B122" s="120" t="s">
        <v>153</v>
      </c>
      <c r="C122" s="121" t="s">
        <v>120</v>
      </c>
      <c r="D122" s="2">
        <v>10112289367.41</v>
      </c>
      <c r="E122" s="3">
        <f>(D122/$D$124)</f>
        <v>0.1058531132857837</v>
      </c>
      <c r="F122" s="14">
        <v>36.6</v>
      </c>
      <c r="G122" s="14">
        <v>36.6</v>
      </c>
      <c r="H122" s="60">
        <v>5264</v>
      </c>
      <c r="I122" s="5">
        <v>5.6099999999999997E-2</v>
      </c>
      <c r="J122" s="5">
        <v>0.1658</v>
      </c>
      <c r="K122" s="2">
        <v>10118781515.959999</v>
      </c>
      <c r="L122" s="3">
        <f>(K122/$K$124)</f>
        <v>0.1056013678684069</v>
      </c>
      <c r="M122" s="14">
        <v>36.6</v>
      </c>
      <c r="N122" s="14">
        <v>36.6</v>
      </c>
      <c r="O122" s="60">
        <v>5264</v>
      </c>
      <c r="P122" s="5">
        <v>3.73E-2</v>
      </c>
      <c r="Q122" s="5">
        <v>0.1646</v>
      </c>
      <c r="R122" s="82">
        <f t="shared" si="79"/>
        <v>6.4200581234573914E-4</v>
      </c>
      <c r="S122" s="82">
        <f t="shared" si="80"/>
        <v>0</v>
      </c>
      <c r="T122" s="82">
        <f t="shared" si="81"/>
        <v>0</v>
      </c>
      <c r="U122" s="82">
        <f t="shared" si="82"/>
        <v>-1.8799999999999997E-2</v>
      </c>
      <c r="V122" s="84">
        <f t="shared" si="83"/>
        <v>-1.2000000000000066E-3</v>
      </c>
    </row>
    <row r="123" spans="1:22">
      <c r="A123" s="129">
        <v>103</v>
      </c>
      <c r="B123" s="120" t="s">
        <v>154</v>
      </c>
      <c r="C123" s="121" t="s">
        <v>42</v>
      </c>
      <c r="D123" s="2">
        <v>26370658903.57</v>
      </c>
      <c r="E123" s="3">
        <f>(D123/$D$124)</f>
        <v>0.27604197654158946</v>
      </c>
      <c r="F123" s="14">
        <v>3.7</v>
      </c>
      <c r="G123" s="14">
        <v>3.7</v>
      </c>
      <c r="H123" s="60">
        <v>208853</v>
      </c>
      <c r="I123" s="5">
        <v>0</v>
      </c>
      <c r="J123" s="5">
        <v>0.23330000000000001</v>
      </c>
      <c r="K123" s="2">
        <v>26643872334.889999</v>
      </c>
      <c r="L123" s="3">
        <f>(K123/$K$124)</f>
        <v>0.27806009640960716</v>
      </c>
      <c r="M123" s="14">
        <v>4.45</v>
      </c>
      <c r="N123" s="14">
        <v>4.45</v>
      </c>
      <c r="O123" s="60">
        <v>208853</v>
      </c>
      <c r="P123" s="5">
        <v>0.20269999999999999</v>
      </c>
      <c r="Q123" s="5">
        <v>0.48330000000000001</v>
      </c>
      <c r="R123" s="82">
        <f t="shared" si="79"/>
        <v>1.0360508333108533E-2</v>
      </c>
      <c r="S123" s="82">
        <f t="shared" si="80"/>
        <v>0.20270270270270269</v>
      </c>
      <c r="T123" s="82">
        <f t="shared" si="81"/>
        <v>0</v>
      </c>
      <c r="U123" s="82">
        <f t="shared" si="82"/>
        <v>0.20269999999999999</v>
      </c>
      <c r="V123" s="84">
        <f t="shared" si="83"/>
        <v>0.25</v>
      </c>
    </row>
    <row r="124" spans="1:22">
      <c r="A124" s="76"/>
      <c r="B124" s="19"/>
      <c r="C124" s="72" t="s">
        <v>46</v>
      </c>
      <c r="D124" s="58">
        <f>SUM(D119:D123)</f>
        <v>95531336334.98999</v>
      </c>
      <c r="E124" s="105">
        <f>(D124/$D$176)</f>
        <v>4.7295551501337747E-2</v>
      </c>
      <c r="F124" s="30"/>
      <c r="G124" s="34"/>
      <c r="H124" s="66">
        <f>SUM(H119:H123)</f>
        <v>217543</v>
      </c>
      <c r="I124" s="35"/>
      <c r="J124" s="35"/>
      <c r="K124" s="58">
        <f>SUM(K119:K123)</f>
        <v>95820553466.403229</v>
      </c>
      <c r="L124" s="105">
        <f>(K124/$K$176)</f>
        <v>4.7346899108379657E-2</v>
      </c>
      <c r="M124" s="30"/>
      <c r="N124" s="34"/>
      <c r="O124" s="66">
        <f>SUM(O119:O123)</f>
        <v>217543</v>
      </c>
      <c r="P124" s="35"/>
      <c r="Q124" s="35"/>
      <c r="R124" s="82">
        <f t="shared" si="79"/>
        <v>3.0274582404989114E-3</v>
      </c>
      <c r="S124" s="82" t="e">
        <f t="shared" si="80"/>
        <v>#DIV/0!</v>
      </c>
      <c r="T124" s="82">
        <f t="shared" si="81"/>
        <v>0</v>
      </c>
      <c r="U124" s="82">
        <f t="shared" si="82"/>
        <v>0</v>
      </c>
      <c r="V124" s="84">
        <f t="shared" si="83"/>
        <v>0</v>
      </c>
    </row>
    <row r="125" spans="1:22" ht="7.5" customHeight="1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</row>
    <row r="126" spans="1:22" ht="15" customHeight="1">
      <c r="A126" s="136" t="s">
        <v>155</v>
      </c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</row>
    <row r="127" spans="1:22">
      <c r="A127" s="123">
        <v>104</v>
      </c>
      <c r="B127" s="120" t="s">
        <v>156</v>
      </c>
      <c r="C127" s="121" t="s">
        <v>50</v>
      </c>
      <c r="D127" s="4">
        <v>213858932.52000001</v>
      </c>
      <c r="E127" s="3">
        <f t="shared" ref="E127:E150" si="84">(D127/$D$151)</f>
        <v>5.351720845581452E-3</v>
      </c>
      <c r="F127" s="4">
        <v>4.78</v>
      </c>
      <c r="G127" s="4">
        <v>4.88</v>
      </c>
      <c r="H127" s="62">
        <v>11813</v>
      </c>
      <c r="I127" s="6">
        <v>4.5519999999999996E-3</v>
      </c>
      <c r="J127" s="6">
        <v>0.27337800000000001</v>
      </c>
      <c r="K127" s="4">
        <v>214701374.28999999</v>
      </c>
      <c r="L127" s="16">
        <f t="shared" ref="L127:L142" si="85">(K127/$K$151)</f>
        <v>5.3426845716022303E-3</v>
      </c>
      <c r="M127" s="4">
        <v>4.9000000000000004</v>
      </c>
      <c r="N127" s="4">
        <v>4.8</v>
      </c>
      <c r="O127" s="62">
        <v>11813</v>
      </c>
      <c r="P127" s="6">
        <v>5.0039999999999998E-3</v>
      </c>
      <c r="Q127" s="6">
        <v>0.27838299999999999</v>
      </c>
      <c r="R127" s="82">
        <f t="shared" ref="R127" si="86">((K127-D127)/D127)</f>
        <v>3.9392405080914544E-3</v>
      </c>
      <c r="S127" s="82">
        <f t="shared" ref="S127" si="87">((N127-G127)/G127)</f>
        <v>-1.6393442622950834E-2</v>
      </c>
      <c r="T127" s="82">
        <f t="shared" ref="T127" si="88">((O127-H127)/H127)</f>
        <v>0</v>
      </c>
      <c r="U127" s="82">
        <f t="shared" ref="U127" si="89">P127-I127</f>
        <v>4.5200000000000014E-4</v>
      </c>
      <c r="V127" s="84">
        <f t="shared" ref="V127" si="90">Q127-J127</f>
        <v>5.0049999999999817E-3</v>
      </c>
    </row>
    <row r="128" spans="1:22">
      <c r="A128" s="123">
        <v>105</v>
      </c>
      <c r="B128" s="120" t="s">
        <v>157</v>
      </c>
      <c r="C128" s="121" t="s">
        <v>21</v>
      </c>
      <c r="D128" s="4">
        <v>6071736412.8999996</v>
      </c>
      <c r="E128" s="3">
        <f t="shared" si="84"/>
        <v>0.15194239467530321</v>
      </c>
      <c r="F128" s="4">
        <v>647.20809999999994</v>
      </c>
      <c r="G128" s="4">
        <v>666.72190000000001</v>
      </c>
      <c r="H128" s="62">
        <v>21197</v>
      </c>
      <c r="I128" s="6">
        <v>0.20549999999999999</v>
      </c>
      <c r="J128" s="6">
        <v>0.26079999999999998</v>
      </c>
      <c r="K128" s="4">
        <v>6061818605.4899998</v>
      </c>
      <c r="L128" s="16">
        <f t="shared" si="85"/>
        <v>0.15084386323330215</v>
      </c>
      <c r="M128" s="4">
        <v>647.18290000000002</v>
      </c>
      <c r="N128" s="4">
        <v>666.69600000000003</v>
      </c>
      <c r="O128" s="62">
        <v>21194</v>
      </c>
      <c r="P128" s="6">
        <v>-2E-3</v>
      </c>
      <c r="Q128" s="6">
        <v>0.25519999999999998</v>
      </c>
      <c r="R128" s="82">
        <f t="shared" ref="R128:R151" si="91">((K128-D128)/D128)</f>
        <v>-1.6334383997514274E-3</v>
      </c>
      <c r="S128" s="82">
        <f t="shared" ref="S128:S151" si="92">((N128-G128)/G128)</f>
        <v>-3.8846781544117143E-5</v>
      </c>
      <c r="T128" s="82">
        <f t="shared" ref="T128:T151" si="93">((O128-H128)/H128)</f>
        <v>-1.415294617162806E-4</v>
      </c>
      <c r="U128" s="82">
        <f t="shared" ref="U128:U151" si="94">P128-I128</f>
        <v>-0.20749999999999999</v>
      </c>
      <c r="V128" s="84">
        <f t="shared" ref="V128:V151" si="95">Q128-J128</f>
        <v>-5.5999999999999939E-3</v>
      </c>
    </row>
    <row r="129" spans="1:24">
      <c r="A129" s="129">
        <v>106</v>
      </c>
      <c r="B129" s="120" t="s">
        <v>158</v>
      </c>
      <c r="C129" s="121" t="s">
        <v>91</v>
      </c>
      <c r="D129" s="4">
        <v>3240216727.8800001</v>
      </c>
      <c r="E129" s="3">
        <f t="shared" si="84"/>
        <v>8.1084924545648432E-2</v>
      </c>
      <c r="F129" s="4">
        <v>18.135200000000001</v>
      </c>
      <c r="G129" s="4">
        <v>18.341999999999999</v>
      </c>
      <c r="H129" s="60">
        <v>6275</v>
      </c>
      <c r="I129" s="5">
        <v>9.1000000000000004E-3</v>
      </c>
      <c r="J129" s="5">
        <v>0.30890000000000001</v>
      </c>
      <c r="K129" s="4">
        <v>3255917037.8299999</v>
      </c>
      <c r="L129" s="16">
        <f t="shared" si="85"/>
        <v>8.1021082337996889E-2</v>
      </c>
      <c r="M129" s="4">
        <v>18.085899999999999</v>
      </c>
      <c r="N129" s="4">
        <v>18.2913</v>
      </c>
      <c r="O129" s="60">
        <v>6274</v>
      </c>
      <c r="P129" s="5">
        <v>1.0699999999999999E-2</v>
      </c>
      <c r="Q129" s="5">
        <v>0.30530000000000002</v>
      </c>
      <c r="R129" s="82">
        <f t="shared" si="91"/>
        <v>4.8454505573373059E-3</v>
      </c>
      <c r="S129" s="82">
        <f t="shared" si="92"/>
        <v>-2.764147857376463E-3</v>
      </c>
      <c r="T129" s="82">
        <f t="shared" si="93"/>
        <v>-1.5936254980079682E-4</v>
      </c>
      <c r="U129" s="82">
        <f t="shared" si="94"/>
        <v>1.599999999999999E-3</v>
      </c>
      <c r="V129" s="84">
        <f t="shared" si="95"/>
        <v>-3.5999999999999921E-3</v>
      </c>
    </row>
    <row r="130" spans="1:24">
      <c r="A130" s="129">
        <v>107</v>
      </c>
      <c r="B130" s="120" t="s">
        <v>159</v>
      </c>
      <c r="C130" s="121" t="s">
        <v>101</v>
      </c>
      <c r="D130" s="2">
        <v>1260900885.4929314</v>
      </c>
      <c r="E130" s="3">
        <f t="shared" si="84"/>
        <v>3.1553461310172594E-2</v>
      </c>
      <c r="F130" s="4">
        <v>2.95</v>
      </c>
      <c r="G130" s="4">
        <v>3.0215000000000001</v>
      </c>
      <c r="H130" s="60">
        <v>2754</v>
      </c>
      <c r="I130" s="5">
        <v>0.41570000000000001</v>
      </c>
      <c r="J130" s="5">
        <v>0.34660000000000002</v>
      </c>
      <c r="K130" s="2">
        <v>1272637728.2993147</v>
      </c>
      <c r="L130" s="16">
        <f t="shared" si="85"/>
        <v>3.1668646643312835E-2</v>
      </c>
      <c r="M130" s="4">
        <v>2.9771000000000001</v>
      </c>
      <c r="N130" s="4">
        <v>3.0495999999999999</v>
      </c>
      <c r="O130" s="60">
        <v>2754</v>
      </c>
      <c r="P130" s="5">
        <v>0.4849</v>
      </c>
      <c r="Q130" s="5">
        <v>0.35249999999999998</v>
      </c>
      <c r="R130" s="82">
        <f t="shared" si="91"/>
        <v>9.3082992814260881E-3</v>
      </c>
      <c r="S130" s="82">
        <f t="shared" si="92"/>
        <v>9.3000165480720803E-3</v>
      </c>
      <c r="T130" s="82">
        <f t="shared" si="93"/>
        <v>0</v>
      </c>
      <c r="U130" s="82">
        <f t="shared" si="94"/>
        <v>6.9199999999999984E-2</v>
      </c>
      <c r="V130" s="84">
        <f t="shared" si="95"/>
        <v>5.8999999999999608E-3</v>
      </c>
    </row>
    <row r="131" spans="1:24">
      <c r="A131" s="129">
        <v>108</v>
      </c>
      <c r="B131" s="120" t="s">
        <v>160</v>
      </c>
      <c r="C131" s="121" t="s">
        <v>56</v>
      </c>
      <c r="D131" s="2">
        <v>2867963048.4537201</v>
      </c>
      <c r="E131" s="3">
        <f t="shared" si="84"/>
        <v>7.1769448439249608E-2</v>
      </c>
      <c r="F131" s="4">
        <v>5382.61486239651</v>
      </c>
      <c r="G131" s="4">
        <v>5423.0722359990004</v>
      </c>
      <c r="H131" s="60">
        <v>843</v>
      </c>
      <c r="I131" s="5">
        <v>0.15195749066196484</v>
      </c>
      <c r="J131" s="5">
        <v>0.31742200888487665</v>
      </c>
      <c r="K131" s="2">
        <v>2901179732.3859501</v>
      </c>
      <c r="L131" s="16">
        <f t="shared" si="85"/>
        <v>7.219370740835282E-2</v>
      </c>
      <c r="M131" s="4">
        <v>5424.1370839520296</v>
      </c>
      <c r="N131" s="4">
        <v>5465.13062607559</v>
      </c>
      <c r="O131" s="60">
        <v>845</v>
      </c>
      <c r="P131" s="5">
        <v>0.40223707662033126</v>
      </c>
      <c r="Q131" s="5">
        <v>0.32162846552041102</v>
      </c>
      <c r="R131" s="82">
        <f t="shared" si="91"/>
        <v>1.1581977651399301E-2</v>
      </c>
      <c r="S131" s="82">
        <f t="shared" si="92"/>
        <v>7.7554545184556076E-3</v>
      </c>
      <c r="T131" s="82">
        <f t="shared" si="93"/>
        <v>2.3724792408066431E-3</v>
      </c>
      <c r="U131" s="82">
        <f t="shared" si="94"/>
        <v>0.25027958595836641</v>
      </c>
      <c r="V131" s="84">
        <f t="shared" si="95"/>
        <v>4.2064566355343724E-3</v>
      </c>
    </row>
    <row r="132" spans="1:24">
      <c r="A132" s="129">
        <v>109</v>
      </c>
      <c r="B132" s="120" t="s">
        <v>161</v>
      </c>
      <c r="C132" s="121" t="s">
        <v>58</v>
      </c>
      <c r="D132" s="4">
        <v>431460455.22000003</v>
      </c>
      <c r="E132" s="3">
        <f t="shared" si="84"/>
        <v>1.0797098278927371E-2</v>
      </c>
      <c r="F132" s="4">
        <v>160.59</v>
      </c>
      <c r="G132" s="4">
        <v>161.63999999999999</v>
      </c>
      <c r="H132" s="60">
        <v>627</v>
      </c>
      <c r="I132" s="5">
        <v>4.5999999999999999E-3</v>
      </c>
      <c r="J132" s="5">
        <v>0.25059999999999999</v>
      </c>
      <c r="K132" s="4">
        <v>437218199.94</v>
      </c>
      <c r="L132" s="16">
        <f t="shared" si="85"/>
        <v>1.08798508578151E-2</v>
      </c>
      <c r="M132" s="4">
        <v>162.61000000000001</v>
      </c>
      <c r="N132" s="4">
        <v>163.69</v>
      </c>
      <c r="O132" s="60">
        <v>629</v>
      </c>
      <c r="P132" s="5">
        <v>1.26E-2</v>
      </c>
      <c r="Q132" s="5">
        <v>0.26529999999999998</v>
      </c>
      <c r="R132" s="82">
        <f t="shared" si="91"/>
        <v>1.3344779690329017E-2</v>
      </c>
      <c r="S132" s="82">
        <f t="shared" si="92"/>
        <v>1.2682504330611306E-2</v>
      </c>
      <c r="T132" s="82">
        <f t="shared" si="93"/>
        <v>3.189792663476874E-3</v>
      </c>
      <c r="U132" s="82">
        <f t="shared" si="94"/>
        <v>8.0000000000000002E-3</v>
      </c>
      <c r="V132" s="84">
        <f t="shared" si="95"/>
        <v>1.4699999999999991E-2</v>
      </c>
    </row>
    <row r="133" spans="1:24">
      <c r="A133" s="129">
        <v>110</v>
      </c>
      <c r="B133" s="120" t="s">
        <v>162</v>
      </c>
      <c r="C133" s="121" t="s">
        <v>60</v>
      </c>
      <c r="D133" s="4">
        <v>3734808.11</v>
      </c>
      <c r="E133" s="3">
        <f t="shared" si="84"/>
        <v>9.3461845063050737E-5</v>
      </c>
      <c r="F133" s="4">
        <v>102.747</v>
      </c>
      <c r="G133" s="4">
        <v>102.99</v>
      </c>
      <c r="H133" s="60">
        <v>0</v>
      </c>
      <c r="I133" s="5">
        <v>0</v>
      </c>
      <c r="J133" s="5">
        <v>0</v>
      </c>
      <c r="K133" s="4">
        <v>3734808.11</v>
      </c>
      <c r="L133" s="16">
        <f t="shared" si="85"/>
        <v>9.2937931735080035E-5</v>
      </c>
      <c r="M133" s="4">
        <v>102.747</v>
      </c>
      <c r="N133" s="4">
        <v>102.99</v>
      </c>
      <c r="O133" s="60">
        <v>0</v>
      </c>
      <c r="P133" s="5">
        <v>0</v>
      </c>
      <c r="Q133" s="5">
        <v>0</v>
      </c>
      <c r="R133" s="82">
        <f t="shared" si="91"/>
        <v>0</v>
      </c>
      <c r="S133" s="82">
        <f t="shared" si="92"/>
        <v>0</v>
      </c>
      <c r="T133" s="82" t="e">
        <f t="shared" si="93"/>
        <v>#DIV/0!</v>
      </c>
      <c r="U133" s="82">
        <f t="shared" si="94"/>
        <v>0</v>
      </c>
      <c r="V133" s="84">
        <f t="shared" si="95"/>
        <v>0</v>
      </c>
    </row>
    <row r="134" spans="1:24">
      <c r="A134" s="129">
        <v>111</v>
      </c>
      <c r="B134" s="120" t="s">
        <v>163</v>
      </c>
      <c r="C134" s="121" t="s">
        <v>105</v>
      </c>
      <c r="D134" s="4">
        <v>163000000</v>
      </c>
      <c r="E134" s="3">
        <f t="shared" si="84"/>
        <v>4.0789995888911336E-3</v>
      </c>
      <c r="F134" s="4">
        <v>1.4435</v>
      </c>
      <c r="G134" s="4">
        <v>1.4573</v>
      </c>
      <c r="H134" s="60">
        <v>261</v>
      </c>
      <c r="I134" s="5">
        <v>5.2928476913434164E-3</v>
      </c>
      <c r="J134" s="5">
        <v>0.20171495171495168</v>
      </c>
      <c r="K134" s="4">
        <v>163149900.31999999</v>
      </c>
      <c r="L134" s="16">
        <f t="shared" si="85"/>
        <v>4.0598643496373025E-3</v>
      </c>
      <c r="M134" s="4">
        <v>1.4447000000000001</v>
      </c>
      <c r="N134" s="4">
        <v>1.4584999999999999</v>
      </c>
      <c r="O134" s="60">
        <v>263</v>
      </c>
      <c r="P134" s="5">
        <v>8.3131278143411258E-4</v>
      </c>
      <c r="Q134" s="5">
        <v>0.20271395271395276</v>
      </c>
      <c r="R134" s="82">
        <f t="shared" si="91"/>
        <v>9.19633865030631E-4</v>
      </c>
      <c r="S134" s="82">
        <f t="shared" si="92"/>
        <v>8.2344060934596024E-4</v>
      </c>
      <c r="T134" s="82">
        <f t="shared" si="93"/>
        <v>7.6628352490421452E-3</v>
      </c>
      <c r="U134" s="82">
        <f t="shared" si="94"/>
        <v>-4.4615349099093038E-3</v>
      </c>
      <c r="V134" s="84">
        <f t="shared" si="95"/>
        <v>9.990009990010762E-4</v>
      </c>
    </row>
    <row r="135" spans="1:24">
      <c r="A135" s="129">
        <v>112</v>
      </c>
      <c r="B135" s="120" t="s">
        <v>164</v>
      </c>
      <c r="C135" s="121" t="s">
        <v>25</v>
      </c>
      <c r="D135" s="9">
        <v>134697639.66</v>
      </c>
      <c r="E135" s="3">
        <f t="shared" si="84"/>
        <v>3.3707461153235948E-3</v>
      </c>
      <c r="F135" s="4">
        <v>126.2229</v>
      </c>
      <c r="G135" s="4">
        <v>126.687</v>
      </c>
      <c r="H135" s="60">
        <v>73</v>
      </c>
      <c r="I135" s="5">
        <v>1.075E-3</v>
      </c>
      <c r="J135" s="5">
        <v>0.21859999999999999</v>
      </c>
      <c r="K135" s="9">
        <v>135270461.06999999</v>
      </c>
      <c r="L135" s="16">
        <f t="shared" si="85"/>
        <v>3.3661051669657163E-3</v>
      </c>
      <c r="M135" s="4">
        <v>126.6799</v>
      </c>
      <c r="N135" s="4">
        <v>127.1463</v>
      </c>
      <c r="O135" s="60">
        <v>76</v>
      </c>
      <c r="P135" s="5">
        <v>1.075E-3</v>
      </c>
      <c r="Q135" s="5">
        <v>0.2233</v>
      </c>
      <c r="R135" s="82">
        <f t="shared" si="91"/>
        <v>4.2526462337862505E-3</v>
      </c>
      <c r="S135" s="82">
        <f t="shared" si="92"/>
        <v>3.6254706481327914E-3</v>
      </c>
      <c r="T135" s="82">
        <f t="shared" si="93"/>
        <v>4.1095890410958902E-2</v>
      </c>
      <c r="U135" s="82">
        <f t="shared" si="94"/>
        <v>0</v>
      </c>
      <c r="V135" s="84">
        <f t="shared" si="95"/>
        <v>4.7000000000000097E-3</v>
      </c>
    </row>
    <row r="136" spans="1:24">
      <c r="A136" s="129">
        <v>113</v>
      </c>
      <c r="B136" s="120" t="s">
        <v>165</v>
      </c>
      <c r="C136" s="121" t="s">
        <v>64</v>
      </c>
      <c r="D136" s="9">
        <v>181058024.97999999</v>
      </c>
      <c r="E136" s="3">
        <f t="shared" si="84"/>
        <v>4.5308933095635617E-3</v>
      </c>
      <c r="F136" s="4">
        <v>114.52</v>
      </c>
      <c r="G136" s="4">
        <v>117.01</v>
      </c>
      <c r="H136" s="60">
        <v>28</v>
      </c>
      <c r="I136" s="5">
        <v>3.0000000000000001E-3</v>
      </c>
      <c r="J136" s="5">
        <v>0.1134</v>
      </c>
      <c r="K136" s="9">
        <v>181298694.94999999</v>
      </c>
      <c r="L136" s="16">
        <f t="shared" si="85"/>
        <v>4.5114836528836275E-3</v>
      </c>
      <c r="M136" s="4">
        <v>114.64</v>
      </c>
      <c r="N136" s="4">
        <v>116.61</v>
      </c>
      <c r="O136" s="60">
        <v>29</v>
      </c>
      <c r="P136" s="5">
        <v>-1.4E-3</v>
      </c>
      <c r="Q136" s="5">
        <v>0.112</v>
      </c>
      <c r="R136" s="82">
        <f t="shared" si="91"/>
        <v>1.3292422140724425E-3</v>
      </c>
      <c r="S136" s="82">
        <f t="shared" si="92"/>
        <v>-3.4185112383557444E-3</v>
      </c>
      <c r="T136" s="82">
        <f t="shared" si="93"/>
        <v>3.5714285714285712E-2</v>
      </c>
      <c r="U136" s="82">
        <f t="shared" si="94"/>
        <v>-4.4000000000000003E-3</v>
      </c>
      <c r="V136" s="84">
        <f t="shared" si="95"/>
        <v>-1.3999999999999985E-3</v>
      </c>
    </row>
    <row r="137" spans="1:24" ht="15.75" customHeight="1">
      <c r="A137" s="129">
        <v>114</v>
      </c>
      <c r="B137" s="120" t="s">
        <v>166</v>
      </c>
      <c r="C137" s="121" t="s">
        <v>67</v>
      </c>
      <c r="D137" s="2">
        <v>495751045.80000001</v>
      </c>
      <c r="E137" s="3">
        <f t="shared" si="84"/>
        <v>1.2405940564481898E-2</v>
      </c>
      <c r="F137" s="4">
        <v>1.2519</v>
      </c>
      <c r="G137" s="4">
        <v>1.2519</v>
      </c>
      <c r="H137" s="60">
        <v>104</v>
      </c>
      <c r="I137" s="5">
        <v>2.2416139620526085E-3</v>
      </c>
      <c r="J137" s="5">
        <v>0.25843017378787131</v>
      </c>
      <c r="K137" s="2">
        <v>496489710.30000001</v>
      </c>
      <c r="L137" s="16">
        <f t="shared" si="85"/>
        <v>1.235477846357977E-2</v>
      </c>
      <c r="M137" s="4">
        <v>1.2575000000000001</v>
      </c>
      <c r="N137" s="4">
        <v>1.2575000000000001</v>
      </c>
      <c r="O137" s="60">
        <v>104</v>
      </c>
      <c r="P137" s="5">
        <v>4.4732007348830174E-3</v>
      </c>
      <c r="Q137" s="5">
        <v>0.25870053055743641</v>
      </c>
      <c r="R137" s="82">
        <f t="shared" si="91"/>
        <v>1.4899908053809697E-3</v>
      </c>
      <c r="S137" s="82">
        <f t="shared" si="92"/>
        <v>4.4732007348830174E-3</v>
      </c>
      <c r="T137" s="82">
        <f t="shared" si="93"/>
        <v>0</v>
      </c>
      <c r="U137" s="82">
        <f t="shared" si="94"/>
        <v>2.2315867728304089E-3</v>
      </c>
      <c r="V137" s="84">
        <f t="shared" si="95"/>
        <v>2.7035676956510546E-4</v>
      </c>
      <c r="X137" s="110"/>
    </row>
    <row r="138" spans="1:24">
      <c r="A138" s="129">
        <v>115</v>
      </c>
      <c r="B138" s="120" t="s">
        <v>167</v>
      </c>
      <c r="C138" s="121" t="s">
        <v>27</v>
      </c>
      <c r="D138" s="4">
        <v>6770848490.0600004</v>
      </c>
      <c r="E138" s="3">
        <f t="shared" si="84"/>
        <v>0.16943735096563736</v>
      </c>
      <c r="F138" s="4">
        <v>256.32</v>
      </c>
      <c r="G138" s="4">
        <v>258.5</v>
      </c>
      <c r="H138" s="60">
        <v>5463</v>
      </c>
      <c r="I138" s="5">
        <v>3.8999999999999998E-3</v>
      </c>
      <c r="J138" s="5">
        <v>0.39050000000000001</v>
      </c>
      <c r="K138" s="4">
        <v>6810652260.71</v>
      </c>
      <c r="L138" s="16">
        <f t="shared" si="85"/>
        <v>0.16947803373952577</v>
      </c>
      <c r="M138" s="4">
        <v>257.63</v>
      </c>
      <c r="N138" s="4">
        <v>259.83</v>
      </c>
      <c r="O138" s="60">
        <v>5464</v>
      </c>
      <c r="P138" s="5">
        <v>5.1999999999999998E-3</v>
      </c>
      <c r="Q138" s="5">
        <v>0.39700000000000002</v>
      </c>
      <c r="R138" s="82">
        <f t="shared" si="91"/>
        <v>5.8786975825014945E-3</v>
      </c>
      <c r="S138" s="82">
        <f t="shared" si="92"/>
        <v>5.1450676982591264E-3</v>
      </c>
      <c r="T138" s="82">
        <f t="shared" si="93"/>
        <v>1.8304960644334616E-4</v>
      </c>
      <c r="U138" s="82">
        <f t="shared" si="94"/>
        <v>1.2999999999999999E-3</v>
      </c>
      <c r="V138" s="84">
        <f t="shared" si="95"/>
        <v>6.5000000000000058E-3</v>
      </c>
    </row>
    <row r="139" spans="1:24">
      <c r="A139" s="129">
        <v>116</v>
      </c>
      <c r="B139" s="120" t="s">
        <v>168</v>
      </c>
      <c r="C139" s="121" t="s">
        <v>72</v>
      </c>
      <c r="D139" s="4">
        <v>2391904751.1999998</v>
      </c>
      <c r="E139" s="3">
        <f t="shared" si="84"/>
        <v>5.985630979638986E-2</v>
      </c>
      <c r="F139" s="4">
        <v>1.6674</v>
      </c>
      <c r="G139" s="4">
        <v>1.6960999999999999</v>
      </c>
      <c r="H139" s="60">
        <v>10336</v>
      </c>
      <c r="I139" s="5">
        <v>5.3E-3</v>
      </c>
      <c r="J139" s="5">
        <v>0.29580000000000001</v>
      </c>
      <c r="K139" s="4">
        <v>2401691945.04</v>
      </c>
      <c r="L139" s="16">
        <f t="shared" si="85"/>
        <v>5.9764324019532855E-2</v>
      </c>
      <c r="M139" s="4">
        <v>1.6741999999999999</v>
      </c>
      <c r="N139" s="4">
        <v>1.7031000000000001</v>
      </c>
      <c r="O139" s="60">
        <v>10316</v>
      </c>
      <c r="P139" s="5">
        <v>4.1000000000000003E-3</v>
      </c>
      <c r="Q139" s="5">
        <v>0.30109999999999998</v>
      </c>
      <c r="R139" s="82">
        <f t="shared" si="91"/>
        <v>4.0917991550834098E-3</v>
      </c>
      <c r="S139" s="82">
        <f t="shared" si="92"/>
        <v>4.1271151465126568E-3</v>
      </c>
      <c r="T139" s="82">
        <f t="shared" si="93"/>
        <v>-1.934984520123839E-3</v>
      </c>
      <c r="U139" s="82">
        <f t="shared" si="94"/>
        <v>-1.1999999999999997E-3</v>
      </c>
      <c r="V139" s="84">
        <f t="shared" si="95"/>
        <v>5.2999999999999714E-3</v>
      </c>
    </row>
    <row r="140" spans="1:24">
      <c r="A140" s="129">
        <v>117</v>
      </c>
      <c r="B140" s="120" t="s">
        <v>169</v>
      </c>
      <c r="C140" s="121" t="s">
        <v>74</v>
      </c>
      <c r="D140" s="4">
        <v>167907838.79465103</v>
      </c>
      <c r="E140" s="3">
        <f t="shared" si="84"/>
        <v>4.2018159841409834E-3</v>
      </c>
      <c r="F140" s="4">
        <v>109.68414993376179</v>
      </c>
      <c r="G140" s="4">
        <v>115.02486313518901</v>
      </c>
      <c r="H140" s="60">
        <v>60</v>
      </c>
      <c r="I140" s="5">
        <v>3.291017E-5</v>
      </c>
      <c r="J140" s="5">
        <v>2.9324518212254E-2</v>
      </c>
      <c r="K140" s="4">
        <v>168466547.25127423</v>
      </c>
      <c r="L140" s="16">
        <f t="shared" si="85"/>
        <v>4.1921651680475649E-3</v>
      </c>
      <c r="M140" s="4">
        <v>110.04912075683615</v>
      </c>
      <c r="N140" s="4">
        <v>115.43170137745858</v>
      </c>
      <c r="O140" s="60">
        <v>60</v>
      </c>
      <c r="P140" s="5">
        <v>3.5910169999999998E-5</v>
      </c>
      <c r="Q140" s="5">
        <v>2.9324518212254E-2</v>
      </c>
      <c r="R140" s="82">
        <f t="shared" si="91"/>
        <v>3.3274709545067119E-3</v>
      </c>
      <c r="S140" s="82">
        <f t="shared" si="92"/>
        <v>3.5369591510960026E-3</v>
      </c>
      <c r="T140" s="82">
        <f t="shared" si="93"/>
        <v>0</v>
      </c>
      <c r="U140" s="82">
        <f t="shared" si="94"/>
        <v>2.9999999999999984E-6</v>
      </c>
      <c r="V140" s="84">
        <f t="shared" si="95"/>
        <v>0</v>
      </c>
    </row>
    <row r="141" spans="1:24" ht="13.5" customHeight="1">
      <c r="A141" s="129">
        <v>118</v>
      </c>
      <c r="B141" s="120" t="s">
        <v>241</v>
      </c>
      <c r="C141" s="121" t="s">
        <v>32</v>
      </c>
      <c r="D141" s="2">
        <v>2623022988.8741999</v>
      </c>
      <c r="E141" s="3">
        <f t="shared" si="84"/>
        <v>6.563993676852671E-2</v>
      </c>
      <c r="F141" s="4">
        <v>3.609</v>
      </c>
      <c r="G141" s="4">
        <v>3.6760999999999999</v>
      </c>
      <c r="H141" s="60">
        <v>2261</v>
      </c>
      <c r="I141" s="5">
        <v>-3.7000000000000002E-3</v>
      </c>
      <c r="J141" s="5">
        <v>0.1696</v>
      </c>
      <c r="K141" s="2">
        <v>2607701051.8945999</v>
      </c>
      <c r="L141" s="16">
        <f t="shared" si="85"/>
        <v>6.4890707958347213E-2</v>
      </c>
      <c r="M141" s="4">
        <v>3.5876000000000001</v>
      </c>
      <c r="N141" s="4">
        <v>3.6537000000000002</v>
      </c>
      <c r="O141" s="60">
        <v>2261</v>
      </c>
      <c r="P141" s="5">
        <v>-5.9296203934607883E-3</v>
      </c>
      <c r="Q141" s="5">
        <v>0.16962665283899403</v>
      </c>
      <c r="R141" s="82">
        <f t="shared" si="91"/>
        <v>-5.8413277522116266E-3</v>
      </c>
      <c r="S141" s="82">
        <f t="shared" si="92"/>
        <v>-6.0934142161529212E-3</v>
      </c>
      <c r="T141" s="82">
        <f t="shared" si="93"/>
        <v>0</v>
      </c>
      <c r="U141" s="82">
        <f t="shared" si="94"/>
        <v>-2.2296203934607881E-3</v>
      </c>
      <c r="V141" s="84">
        <f t="shared" si="95"/>
        <v>2.6652838994029038E-5</v>
      </c>
    </row>
    <row r="142" spans="1:24">
      <c r="A142" s="129">
        <v>119</v>
      </c>
      <c r="B142" s="120" t="s">
        <v>170</v>
      </c>
      <c r="C142" s="121" t="s">
        <v>114</v>
      </c>
      <c r="D142" s="2">
        <v>177574160.93000001</v>
      </c>
      <c r="E142" s="3">
        <f t="shared" si="84"/>
        <v>4.4437112235040368E-3</v>
      </c>
      <c r="F142" s="4">
        <v>169.17981700000001</v>
      </c>
      <c r="G142" s="4">
        <v>174.23012700000001</v>
      </c>
      <c r="H142" s="60">
        <v>138</v>
      </c>
      <c r="I142" s="5">
        <v>1.2999999999999999E-3</v>
      </c>
      <c r="J142" s="5">
        <v>0.157</v>
      </c>
      <c r="K142" s="2">
        <v>180498465.24000001</v>
      </c>
      <c r="L142" s="16">
        <f t="shared" si="85"/>
        <v>4.4915705296467929E-3</v>
      </c>
      <c r="M142" s="4">
        <v>171.96588299999999</v>
      </c>
      <c r="N142" s="4">
        <v>177.11637099999999</v>
      </c>
      <c r="O142" s="60">
        <v>138</v>
      </c>
      <c r="P142" s="5">
        <v>2.0999999999999999E-3</v>
      </c>
      <c r="Q142" s="5">
        <v>0.1762</v>
      </c>
      <c r="R142" s="82">
        <f t="shared" si="91"/>
        <v>1.6468073365430498E-2</v>
      </c>
      <c r="S142" s="82">
        <f t="shared" si="92"/>
        <v>1.6565699914802771E-2</v>
      </c>
      <c r="T142" s="82">
        <f t="shared" si="93"/>
        <v>0</v>
      </c>
      <c r="U142" s="82">
        <f t="shared" si="94"/>
        <v>7.9999999999999993E-4</v>
      </c>
      <c r="V142" s="84">
        <f t="shared" si="95"/>
        <v>1.9199999999999995E-2</v>
      </c>
    </row>
    <row r="143" spans="1:24">
      <c r="A143" s="129">
        <v>120</v>
      </c>
      <c r="B143" s="120" t="s">
        <v>171</v>
      </c>
      <c r="C143" s="121" t="s">
        <v>29</v>
      </c>
      <c r="D143" s="2">
        <v>1529297934.8199999</v>
      </c>
      <c r="E143" s="3">
        <f t="shared" si="84"/>
        <v>3.8269973297072629E-2</v>
      </c>
      <c r="F143" s="4">
        <v>552.20000000000005</v>
      </c>
      <c r="G143" s="4">
        <v>552.20000000000005</v>
      </c>
      <c r="H143" s="60">
        <v>818</v>
      </c>
      <c r="I143" s="5">
        <v>6.4200000000000004E-3</v>
      </c>
      <c r="J143" s="5">
        <v>0.32876129999999998</v>
      </c>
      <c r="K143" s="2">
        <v>1531691254.5699999</v>
      </c>
      <c r="L143" s="16">
        <f t="shared" ref="L143:L150" si="96">(K143/$K$151)</f>
        <v>3.811500164500975E-2</v>
      </c>
      <c r="M143" s="4">
        <v>552.22</v>
      </c>
      <c r="N143" s="4">
        <v>552.22</v>
      </c>
      <c r="O143" s="60">
        <v>818</v>
      </c>
      <c r="P143" s="5">
        <v>1.56E-3</v>
      </c>
      <c r="Q143" s="5">
        <v>0.33084000000000002</v>
      </c>
      <c r="R143" s="82">
        <f t="shared" si="91"/>
        <v>1.5649793905473993E-3</v>
      </c>
      <c r="S143" s="82">
        <f t="shared" si="92"/>
        <v>3.621876131832997E-5</v>
      </c>
      <c r="T143" s="82">
        <f t="shared" si="93"/>
        <v>0</v>
      </c>
      <c r="U143" s="82">
        <f t="shared" si="94"/>
        <v>-4.8600000000000006E-3</v>
      </c>
      <c r="V143" s="84">
        <f t="shared" si="95"/>
        <v>2.0787000000000444E-3</v>
      </c>
    </row>
    <row r="144" spans="1:24">
      <c r="A144" s="129">
        <v>121</v>
      </c>
      <c r="B144" s="120" t="s">
        <v>172</v>
      </c>
      <c r="C144" s="121" t="s">
        <v>80</v>
      </c>
      <c r="D144" s="2">
        <v>25430081.5</v>
      </c>
      <c r="E144" s="3">
        <f t="shared" si="84"/>
        <v>6.3637602444152153E-4</v>
      </c>
      <c r="F144" s="4">
        <v>1.56</v>
      </c>
      <c r="G144" s="4">
        <v>1.56</v>
      </c>
      <c r="H144" s="60">
        <v>8</v>
      </c>
      <c r="I144" s="5">
        <v>4.1250000000000002E-3</v>
      </c>
      <c r="J144" s="5" t="s">
        <v>251</v>
      </c>
      <c r="K144" s="2">
        <v>25725061.23</v>
      </c>
      <c r="L144" s="16">
        <f t="shared" si="96"/>
        <v>6.4014908237802184E-4</v>
      </c>
      <c r="M144" s="4">
        <v>1.58</v>
      </c>
      <c r="N144" s="4">
        <v>1.58</v>
      </c>
      <c r="O144" s="60">
        <v>8</v>
      </c>
      <c r="P144" s="5">
        <v>1.1575E-2</v>
      </c>
      <c r="Q144" s="5">
        <v>0.30399300000000001</v>
      </c>
      <c r="R144" s="82">
        <f t="shared" si="91"/>
        <v>1.1599637618149217E-2</v>
      </c>
      <c r="S144" s="82">
        <f t="shared" si="92"/>
        <v>1.2820512820512832E-2</v>
      </c>
      <c r="T144" s="82">
        <f t="shared" si="93"/>
        <v>0</v>
      </c>
      <c r="U144" s="82">
        <f t="shared" si="94"/>
        <v>7.45E-3</v>
      </c>
      <c r="V144" s="84" t="e">
        <f t="shared" si="95"/>
        <v>#VALUE!</v>
      </c>
    </row>
    <row r="145" spans="1:22">
      <c r="A145" s="129">
        <v>122</v>
      </c>
      <c r="B145" s="120" t="s">
        <v>173</v>
      </c>
      <c r="C145" s="121" t="s">
        <v>38</v>
      </c>
      <c r="D145" s="4">
        <v>208951004.91</v>
      </c>
      <c r="E145" s="3">
        <f t="shared" si="84"/>
        <v>5.2289022277685841E-3</v>
      </c>
      <c r="F145" s="4">
        <v>2.135049</v>
      </c>
      <c r="G145" s="4">
        <v>2.1800000000000002</v>
      </c>
      <c r="H145" s="60">
        <v>115</v>
      </c>
      <c r="I145" s="5">
        <v>1E-3</v>
      </c>
      <c r="J145" s="5">
        <v>0.3609</v>
      </c>
      <c r="K145" s="4">
        <v>210464762.33000001</v>
      </c>
      <c r="L145" s="16">
        <f t="shared" si="96"/>
        <v>5.2372596229757528E-3</v>
      </c>
      <c r="M145" s="4">
        <v>2.1594180000000001</v>
      </c>
      <c r="N145" s="4">
        <v>2.1986270000000001</v>
      </c>
      <c r="O145" s="60">
        <v>115</v>
      </c>
      <c r="P145" s="5">
        <v>1E-3</v>
      </c>
      <c r="Q145" s="5">
        <v>0.3705</v>
      </c>
      <c r="R145" s="82">
        <f t="shared" si="91"/>
        <v>7.244556783309211E-3</v>
      </c>
      <c r="S145" s="82">
        <f t="shared" si="92"/>
        <v>8.5444954128440134E-3</v>
      </c>
      <c r="T145" s="82">
        <v>1.1200000000000001</v>
      </c>
      <c r="U145" s="82">
        <f t="shared" si="94"/>
        <v>0</v>
      </c>
      <c r="V145" s="84">
        <f t="shared" si="95"/>
        <v>9.5999999999999974E-3</v>
      </c>
    </row>
    <row r="146" spans="1:22">
      <c r="A146" s="129">
        <v>123</v>
      </c>
      <c r="B146" s="120" t="s">
        <v>174</v>
      </c>
      <c r="C146" s="121" t="s">
        <v>42</v>
      </c>
      <c r="D146" s="2">
        <v>2097463248.5799999</v>
      </c>
      <c r="E146" s="3">
        <f t="shared" si="84"/>
        <v>5.2488047415166141E-2</v>
      </c>
      <c r="F146" s="4">
        <v>4724.13</v>
      </c>
      <c r="G146" s="4">
        <v>4761.91</v>
      </c>
      <c r="H146" s="60">
        <v>3558</v>
      </c>
      <c r="I146" s="5">
        <v>7.7000000000000002E-3</v>
      </c>
      <c r="J146" s="5">
        <v>0.29499999999999998</v>
      </c>
      <c r="K146" s="2">
        <v>2111037201.6400001</v>
      </c>
      <c r="L146" s="3">
        <f t="shared" si="96"/>
        <v>5.2531596151062419E-2</v>
      </c>
      <c r="M146" s="4">
        <v>4750.17</v>
      </c>
      <c r="N146" s="4">
        <v>4791.7299999999996</v>
      </c>
      <c r="O146" s="60">
        <v>3581</v>
      </c>
      <c r="P146" s="5">
        <v>6.3E-3</v>
      </c>
      <c r="Q146" s="5">
        <v>0.30309999999999998</v>
      </c>
      <c r="R146" s="82">
        <f t="shared" si="91"/>
        <v>6.4716047202208957E-3</v>
      </c>
      <c r="S146" s="82">
        <f t="shared" si="92"/>
        <v>6.2621931115875162E-3</v>
      </c>
      <c r="T146" s="82">
        <f t="shared" si="93"/>
        <v>6.4643057897695337E-3</v>
      </c>
      <c r="U146" s="82">
        <f t="shared" si="94"/>
        <v>-1.4000000000000002E-3</v>
      </c>
      <c r="V146" s="84">
        <f t="shared" si="95"/>
        <v>8.0999999999999961E-3</v>
      </c>
    </row>
    <row r="147" spans="1:22">
      <c r="A147" s="129">
        <v>124</v>
      </c>
      <c r="B147" s="120" t="s">
        <v>175</v>
      </c>
      <c r="C147" s="121" t="s">
        <v>45</v>
      </c>
      <c r="D147" s="4">
        <v>1555977019.1400001</v>
      </c>
      <c r="E147" s="3">
        <f t="shared" si="84"/>
        <v>3.8937605039239945E-2</v>
      </c>
      <c r="F147" s="4">
        <v>1.744</v>
      </c>
      <c r="G147" s="4">
        <v>1.7554000000000001</v>
      </c>
      <c r="H147" s="60">
        <v>1908</v>
      </c>
      <c r="I147" s="5">
        <v>2E-3</v>
      </c>
      <c r="J147" s="5">
        <v>0.34510000000000002</v>
      </c>
      <c r="K147" s="4">
        <v>1553000618.8</v>
      </c>
      <c r="L147" s="16">
        <f t="shared" si="96"/>
        <v>3.8645269380271172E-2</v>
      </c>
      <c r="M147" s="4">
        <v>1.7354000000000001</v>
      </c>
      <c r="N147" s="4">
        <v>1.7466999999999999</v>
      </c>
      <c r="O147" s="60">
        <v>1916</v>
      </c>
      <c r="P147" s="5">
        <v>-4.8999999999999998E-3</v>
      </c>
      <c r="Q147" s="5">
        <v>0.33889999999999998</v>
      </c>
      <c r="R147" s="82">
        <f t="shared" si="91"/>
        <v>-1.9128819406633852E-3</v>
      </c>
      <c r="S147" s="82">
        <f t="shared" si="92"/>
        <v>-4.9561353537656101E-3</v>
      </c>
      <c r="T147" s="82">
        <f t="shared" si="93"/>
        <v>4.1928721174004195E-3</v>
      </c>
      <c r="U147" s="82">
        <f t="shared" si="94"/>
        <v>-6.8999999999999999E-3</v>
      </c>
      <c r="V147" s="84">
        <f t="shared" si="95"/>
        <v>-6.2000000000000388E-3</v>
      </c>
    </row>
    <row r="148" spans="1:22">
      <c r="A148" s="129">
        <v>125</v>
      </c>
      <c r="B148" s="120" t="s">
        <v>176</v>
      </c>
      <c r="C148" s="121" t="s">
        <v>45</v>
      </c>
      <c r="D148" s="4">
        <v>830091844.27999997</v>
      </c>
      <c r="E148" s="3">
        <f t="shared" si="84"/>
        <v>2.0772664365398787E-2</v>
      </c>
      <c r="F148" s="4">
        <v>1.3452999999999999</v>
      </c>
      <c r="G148" s="4">
        <v>1.3545</v>
      </c>
      <c r="H148" s="60">
        <v>459</v>
      </c>
      <c r="I148" s="5">
        <v>-5.9999999999999995E-4</v>
      </c>
      <c r="J148" s="5">
        <v>0.25240000000000001</v>
      </c>
      <c r="K148" s="4">
        <v>831323265.96000004</v>
      </c>
      <c r="L148" s="16">
        <f t="shared" si="96"/>
        <v>2.0686863331667731E-2</v>
      </c>
      <c r="M148" s="4">
        <v>1.3483000000000001</v>
      </c>
      <c r="N148" s="4">
        <v>1.3575999999999999</v>
      </c>
      <c r="O148" s="60">
        <v>467</v>
      </c>
      <c r="P148" s="5">
        <v>2.2000000000000001E-3</v>
      </c>
      <c r="Q148" s="5">
        <v>0.255</v>
      </c>
      <c r="R148" s="82">
        <f t="shared" si="91"/>
        <v>1.4834764231037227E-3</v>
      </c>
      <c r="S148" s="82">
        <f t="shared" si="92"/>
        <v>2.2886674049463866E-3</v>
      </c>
      <c r="T148" s="82">
        <f t="shared" si="93"/>
        <v>1.7429193899782137E-2</v>
      </c>
      <c r="U148" s="82">
        <f t="shared" si="94"/>
        <v>2.8E-3</v>
      </c>
      <c r="V148" s="84">
        <f t="shared" si="95"/>
        <v>2.5999999999999912E-3</v>
      </c>
    </row>
    <row r="149" spans="1:22">
      <c r="A149" s="129">
        <v>126</v>
      </c>
      <c r="B149" s="120" t="s">
        <v>177</v>
      </c>
      <c r="C149" s="121" t="s">
        <v>87</v>
      </c>
      <c r="D149" s="4">
        <v>6245867342.6899996</v>
      </c>
      <c r="E149" s="3">
        <f t="shared" si="84"/>
        <v>0.15629994063252187</v>
      </c>
      <c r="F149" s="4">
        <v>305.89</v>
      </c>
      <c r="G149" s="4">
        <v>309.37</v>
      </c>
      <c r="H149" s="60">
        <v>29</v>
      </c>
      <c r="I149" s="5">
        <v>4.8399999999999999E-2</v>
      </c>
      <c r="J149" s="5">
        <v>0.62019999999999997</v>
      </c>
      <c r="K149" s="4">
        <v>6357489545.5699997</v>
      </c>
      <c r="L149" s="16">
        <f t="shared" si="96"/>
        <v>0.15820141543836094</v>
      </c>
      <c r="M149" s="4">
        <v>311.33</v>
      </c>
      <c r="N149" s="4">
        <v>314.91000000000003</v>
      </c>
      <c r="O149" s="60">
        <v>29</v>
      </c>
      <c r="P149" s="5">
        <v>1.15E-2</v>
      </c>
      <c r="Q149" s="5">
        <v>0.64800000000000002</v>
      </c>
      <c r="R149" s="82">
        <f t="shared" si="91"/>
        <v>1.787136946010226E-2</v>
      </c>
      <c r="S149" s="82">
        <f t="shared" si="92"/>
        <v>1.7907360118951485E-2</v>
      </c>
      <c r="T149" s="82">
        <f t="shared" si="93"/>
        <v>0</v>
      </c>
      <c r="U149" s="82">
        <f t="shared" si="94"/>
        <v>-3.6900000000000002E-2</v>
      </c>
      <c r="V149" s="84">
        <f t="shared" si="95"/>
        <v>2.7800000000000047E-2</v>
      </c>
    </row>
    <row r="150" spans="1:22">
      <c r="A150" s="129">
        <v>127</v>
      </c>
      <c r="B150" s="120" t="s">
        <v>178</v>
      </c>
      <c r="C150" s="121" t="s">
        <v>40</v>
      </c>
      <c r="D150" s="2">
        <v>272064040.39999998</v>
      </c>
      <c r="E150" s="3">
        <f t="shared" si="84"/>
        <v>6.8082767419856477E-3</v>
      </c>
      <c r="F150" s="4">
        <v>196.54</v>
      </c>
      <c r="G150" s="4">
        <v>199.58</v>
      </c>
      <c r="H150" s="60">
        <v>734</v>
      </c>
      <c r="I150" s="5">
        <v>-9.1000000000000004E-3</v>
      </c>
      <c r="J150" s="5">
        <v>0.39729999999999999</v>
      </c>
      <c r="K150" s="2">
        <v>272888951.97000003</v>
      </c>
      <c r="L150" s="16">
        <f t="shared" si="96"/>
        <v>6.7906393159902923E-3</v>
      </c>
      <c r="M150" s="4">
        <v>197.11</v>
      </c>
      <c r="N150" s="4">
        <v>200.15</v>
      </c>
      <c r="O150" s="60">
        <v>734</v>
      </c>
      <c r="P150" s="5">
        <v>1E-3</v>
      </c>
      <c r="Q150" s="5">
        <v>0.4012</v>
      </c>
      <c r="R150" s="82">
        <f t="shared" si="91"/>
        <v>3.0320492512984545E-3</v>
      </c>
      <c r="S150" s="82">
        <f t="shared" si="92"/>
        <v>2.8559975949493592E-3</v>
      </c>
      <c r="T150" s="82">
        <f t="shared" si="93"/>
        <v>0</v>
      </c>
      <c r="U150" s="82">
        <f t="shared" si="94"/>
        <v>1.0100000000000001E-2</v>
      </c>
      <c r="V150" s="84">
        <f t="shared" si="95"/>
        <v>3.9000000000000146E-3</v>
      </c>
    </row>
    <row r="151" spans="1:22">
      <c r="A151" s="85"/>
      <c r="B151" s="19"/>
      <c r="C151" s="72" t="s">
        <v>46</v>
      </c>
      <c r="D151" s="73">
        <f>SUM(D127:D150)</f>
        <v>39960778727.195503</v>
      </c>
      <c r="E151" s="105">
        <f>(D151/$D$176)</f>
        <v>1.9783739460089642E-2</v>
      </c>
      <c r="F151" s="30"/>
      <c r="G151" s="36"/>
      <c r="H151" s="66">
        <f>SUM(H127:H150)</f>
        <v>69862</v>
      </c>
      <c r="I151" s="37"/>
      <c r="J151" s="37"/>
      <c r="K151" s="73">
        <f>SUM(K127:K150)</f>
        <v>40186047185.191147</v>
      </c>
      <c r="L151" s="105">
        <f>(K151/$K$176)</f>
        <v>1.9856749442685617E-2</v>
      </c>
      <c r="M151" s="30"/>
      <c r="N151" s="36"/>
      <c r="O151" s="66">
        <f>SUM(O127:O150)</f>
        <v>69888</v>
      </c>
      <c r="P151" s="37"/>
      <c r="Q151" s="37"/>
      <c r="R151" s="82">
        <f t="shared" si="91"/>
        <v>5.6372389420513485E-3</v>
      </c>
      <c r="S151" s="82" t="e">
        <f t="shared" si="92"/>
        <v>#DIV/0!</v>
      </c>
      <c r="T151" s="82">
        <f t="shared" si="93"/>
        <v>3.7216226274655752E-4</v>
      </c>
      <c r="U151" s="82">
        <f t="shared" si="94"/>
        <v>0</v>
      </c>
      <c r="V151" s="84">
        <f t="shared" si="95"/>
        <v>0</v>
      </c>
    </row>
    <row r="152" spans="1:22" ht="8.25" customHeight="1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</row>
    <row r="153" spans="1:22" ht="15" customHeight="1">
      <c r="A153" s="136" t="s">
        <v>179</v>
      </c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</row>
    <row r="154" spans="1:22">
      <c r="A154" s="123">
        <v>128</v>
      </c>
      <c r="B154" s="120" t="s">
        <v>180</v>
      </c>
      <c r="C154" s="121" t="s">
        <v>21</v>
      </c>
      <c r="D154" s="17">
        <v>716283550.30999994</v>
      </c>
      <c r="E154" s="3">
        <f>(D154/$D$157)</f>
        <v>0.18030598139131715</v>
      </c>
      <c r="F154" s="17">
        <v>53.491999999999997</v>
      </c>
      <c r="G154" s="17">
        <v>55.104799999999997</v>
      </c>
      <c r="H154" s="62">
        <v>1401</v>
      </c>
      <c r="I154" s="6">
        <v>0.1517</v>
      </c>
      <c r="J154" s="6">
        <v>0.1978</v>
      </c>
      <c r="K154" s="17">
        <v>741342805.66999996</v>
      </c>
      <c r="L154" s="16">
        <f>(K154/$K$157)</f>
        <v>0.17507231391454389</v>
      </c>
      <c r="M154" s="17">
        <v>53.578600000000002</v>
      </c>
      <c r="N154" s="17">
        <v>55.194000000000003</v>
      </c>
      <c r="O154" s="62">
        <v>1404</v>
      </c>
      <c r="P154" s="6">
        <v>8.4400000000000003E-2</v>
      </c>
      <c r="Q154" s="6">
        <v>0.19570000000000001</v>
      </c>
      <c r="R154" s="82">
        <f t="shared" ref="R154" si="97">((K154-D154)/D154)</f>
        <v>3.4985105199127682E-2</v>
      </c>
      <c r="S154" s="82">
        <f t="shared" ref="S154" si="98">((N154-G154)/G154)</f>
        <v>1.6187337582207952E-3</v>
      </c>
      <c r="T154" s="82">
        <f t="shared" ref="T154" si="99">((O154-H154)/H154)</f>
        <v>2.1413276231263384E-3</v>
      </c>
      <c r="U154" s="82">
        <f t="shared" ref="U154" si="100">P154-I154</f>
        <v>-6.7299999999999999E-2</v>
      </c>
      <c r="V154" s="84">
        <f t="shared" ref="V154" si="101">Q154-J154</f>
        <v>-2.0999999999999908E-3</v>
      </c>
    </row>
    <row r="155" spans="1:22">
      <c r="A155" s="127">
        <v>129</v>
      </c>
      <c r="B155" s="120" t="s">
        <v>181</v>
      </c>
      <c r="C155" s="121" t="s">
        <v>182</v>
      </c>
      <c r="D155" s="100">
        <v>783495652.53999996</v>
      </c>
      <c r="E155" s="3">
        <f>(D155/$D$157)</f>
        <v>0.19722490134795839</v>
      </c>
      <c r="F155" s="17">
        <v>21.5671</v>
      </c>
      <c r="G155" s="17">
        <v>21.7986</v>
      </c>
      <c r="H155" s="60">
        <v>1507</v>
      </c>
      <c r="I155" s="5">
        <v>2.0999999999999999E-3</v>
      </c>
      <c r="J155" s="5">
        <v>0.3649</v>
      </c>
      <c r="K155" s="100">
        <v>788073599.53999996</v>
      </c>
      <c r="L155" s="16">
        <f>(K155/$K$157)</f>
        <v>0.18610805628812846</v>
      </c>
      <c r="M155" s="17">
        <v>21.459599999999998</v>
      </c>
      <c r="N155" s="17">
        <v>21.687999999999999</v>
      </c>
      <c r="O155" s="60">
        <v>1507</v>
      </c>
      <c r="P155" s="5">
        <v>1.14E-2</v>
      </c>
      <c r="Q155" s="5">
        <v>0.35799999999999998</v>
      </c>
      <c r="R155" s="82">
        <f t="shared" ref="R155:R157" si="102">((K155-D155)/D155)</f>
        <v>5.8429769012231774E-3</v>
      </c>
      <c r="S155" s="82">
        <f t="shared" ref="S155:S157" si="103">((N155-G155)/G155)</f>
        <v>-5.0737203306635099E-3</v>
      </c>
      <c r="T155" s="82">
        <f t="shared" ref="T155:T157" si="104">((O155-H155)/H155)</f>
        <v>0</v>
      </c>
      <c r="U155" s="82">
        <f t="shared" ref="U155:U157" si="105">P155-I155</f>
        <v>9.300000000000001E-3</v>
      </c>
      <c r="V155" s="84">
        <f t="shared" ref="V155:V157" si="106">Q155-J155</f>
        <v>-6.9000000000000172E-3</v>
      </c>
    </row>
    <row r="156" spans="1:22">
      <c r="A156" s="129">
        <v>130</v>
      </c>
      <c r="B156" s="120" t="s">
        <v>183</v>
      </c>
      <c r="C156" s="121" t="s">
        <v>42</v>
      </c>
      <c r="D156" s="9">
        <v>2472820845.04</v>
      </c>
      <c r="E156" s="3">
        <f>(D156/$D$157)</f>
        <v>0.62246911726072451</v>
      </c>
      <c r="F156" s="17">
        <v>1.95</v>
      </c>
      <c r="G156" s="17">
        <v>1.98</v>
      </c>
      <c r="H156" s="60">
        <v>17772</v>
      </c>
      <c r="I156" s="5">
        <v>1.0200000000000001E-2</v>
      </c>
      <c r="J156" s="5">
        <v>0.375</v>
      </c>
      <c r="K156" s="9">
        <v>2705078410.6399999</v>
      </c>
      <c r="L156" s="16">
        <f>(K156/$K$157)</f>
        <v>0.63881962979732765</v>
      </c>
      <c r="M156" s="17">
        <v>1.97</v>
      </c>
      <c r="N156" s="17">
        <v>2</v>
      </c>
      <c r="O156" s="60">
        <v>17779</v>
      </c>
      <c r="P156" s="5">
        <v>1.01E-2</v>
      </c>
      <c r="Q156" s="5">
        <v>0.38890000000000002</v>
      </c>
      <c r="R156" s="82">
        <f t="shared" si="102"/>
        <v>9.3924137717402226E-2</v>
      </c>
      <c r="S156" s="82">
        <f t="shared" si="103"/>
        <v>1.0101010101010111E-2</v>
      </c>
      <c r="T156" s="82">
        <f t="shared" si="104"/>
        <v>3.9387801035336483E-4</v>
      </c>
      <c r="U156" s="82">
        <f t="shared" si="105"/>
        <v>-1.0000000000000113E-4</v>
      </c>
      <c r="V156" s="84">
        <f t="shared" si="106"/>
        <v>1.3900000000000023E-2</v>
      </c>
    </row>
    <row r="157" spans="1:22">
      <c r="A157" s="76"/>
      <c r="B157" s="19"/>
      <c r="C157" s="67" t="s">
        <v>46</v>
      </c>
      <c r="D157" s="73">
        <f>SUM(D154:D156)</f>
        <v>3972600047.8899999</v>
      </c>
      <c r="E157" s="105">
        <f>(D157/$D$176)</f>
        <v>1.9667505696806808E-3</v>
      </c>
      <c r="F157" s="30"/>
      <c r="G157" s="36"/>
      <c r="H157" s="66">
        <f>SUM(H154:H156)</f>
        <v>20680</v>
      </c>
      <c r="I157" s="37"/>
      <c r="J157" s="37"/>
      <c r="K157" s="73">
        <f>SUM(K154:K156)</f>
        <v>4234494815.8499999</v>
      </c>
      <c r="L157" s="105">
        <f>(K157/$K$176)</f>
        <v>2.0923506655730483E-3</v>
      </c>
      <c r="M157" s="30"/>
      <c r="N157" s="36"/>
      <c r="O157" s="66">
        <f>SUM(O154:O156)</f>
        <v>20690</v>
      </c>
      <c r="P157" s="37"/>
      <c r="Q157" s="37"/>
      <c r="R157" s="82">
        <f t="shared" si="102"/>
        <v>6.5925279364355438E-2</v>
      </c>
      <c r="S157" s="82" t="e">
        <f t="shared" si="103"/>
        <v>#DIV/0!</v>
      </c>
      <c r="T157" s="82">
        <f t="shared" si="104"/>
        <v>4.8355899419729207E-4</v>
      </c>
      <c r="U157" s="82">
        <f t="shared" si="105"/>
        <v>0</v>
      </c>
      <c r="V157" s="84">
        <f t="shared" si="106"/>
        <v>0</v>
      </c>
    </row>
    <row r="158" spans="1:22" ht="6" customHeight="1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</row>
    <row r="159" spans="1:22" ht="15" customHeight="1">
      <c r="A159" s="136" t="s">
        <v>184</v>
      </c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</row>
    <row r="160" spans="1:22">
      <c r="A160" s="137" t="s">
        <v>233</v>
      </c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</row>
    <row r="161" spans="1:24">
      <c r="A161" s="127">
        <v>131</v>
      </c>
      <c r="B161" s="120" t="s">
        <v>185</v>
      </c>
      <c r="C161" s="121" t="s">
        <v>186</v>
      </c>
      <c r="D161" s="13">
        <v>3609432517.9299998</v>
      </c>
      <c r="E161" s="3">
        <f>(D161/$D$175)</f>
        <v>7.8354888311124693E-2</v>
      </c>
      <c r="F161" s="18">
        <v>1.76</v>
      </c>
      <c r="G161" s="18">
        <v>1.79</v>
      </c>
      <c r="H161" s="61">
        <v>14960</v>
      </c>
      <c r="I161" s="12">
        <v>2.5999999999999999E-3</v>
      </c>
      <c r="J161" s="12">
        <v>0.1484</v>
      </c>
      <c r="K161" s="13">
        <v>3624534741.4299998</v>
      </c>
      <c r="L161" s="3">
        <f>(K161/$K$175)</f>
        <v>7.8951516485358961E-2</v>
      </c>
      <c r="M161" s="18">
        <v>1.77</v>
      </c>
      <c r="N161" s="18">
        <v>1.8</v>
      </c>
      <c r="O161" s="61">
        <v>14945</v>
      </c>
      <c r="P161" s="12">
        <v>2E-3</v>
      </c>
      <c r="Q161" s="12">
        <v>0.1515</v>
      </c>
      <c r="R161" s="82">
        <f t="shared" ref="R161" si="107">((K161-D161)/D161)</f>
        <v>4.1840991416182746E-3</v>
      </c>
      <c r="S161" s="82">
        <f t="shared" ref="S161:S162" si="108">((N161-G161)/G161)</f>
        <v>5.5865921787709542E-3</v>
      </c>
      <c r="T161" s="82">
        <f t="shared" ref="T161" si="109">((O161-H161)/H161)</f>
        <v>-1.002673796791444E-3</v>
      </c>
      <c r="U161" s="82">
        <f t="shared" ref="U161" si="110">P161-I161</f>
        <v>-5.9999999999999984E-4</v>
      </c>
      <c r="V161" s="84">
        <f t="shared" ref="V161" si="111">Q161-J161</f>
        <v>3.0999999999999917E-3</v>
      </c>
    </row>
    <row r="162" spans="1:24">
      <c r="A162" s="129">
        <v>132</v>
      </c>
      <c r="B162" s="120" t="s">
        <v>187</v>
      </c>
      <c r="C162" s="121" t="s">
        <v>42</v>
      </c>
      <c r="D162" s="13">
        <v>539971209.71000004</v>
      </c>
      <c r="E162" s="3">
        <f>(D162/$D$175)</f>
        <v>1.1721893571323578E-2</v>
      </c>
      <c r="F162" s="18">
        <v>368.17</v>
      </c>
      <c r="G162" s="18">
        <v>372.53</v>
      </c>
      <c r="H162" s="61">
        <v>1296</v>
      </c>
      <c r="I162" s="12">
        <v>6.0000000000000001E-3</v>
      </c>
      <c r="J162" s="12">
        <v>0.4032</v>
      </c>
      <c r="K162" s="13">
        <v>542450342.75</v>
      </c>
      <c r="L162" s="3">
        <f>(K162/$K$175)</f>
        <v>1.1815937832952997E-2</v>
      </c>
      <c r="M162" s="18">
        <v>367.37</v>
      </c>
      <c r="N162" s="18">
        <v>371.68</v>
      </c>
      <c r="O162" s="61">
        <v>1303</v>
      </c>
      <c r="P162" s="12">
        <v>-2.3E-3</v>
      </c>
      <c r="Q162" s="12">
        <v>0.4</v>
      </c>
      <c r="R162" s="82">
        <f t="shared" ref="R162" si="112">((K162-D162)/D162)</f>
        <v>4.5912318942549161E-3</v>
      </c>
      <c r="S162" s="82">
        <f t="shared" si="108"/>
        <v>-2.2816954339246933E-3</v>
      </c>
      <c r="T162" s="82">
        <f t="shared" ref="T162" si="113">((O162-H162)/H162)</f>
        <v>5.4012345679012343E-3</v>
      </c>
      <c r="U162" s="82">
        <f t="shared" ref="U162" si="114">P162-I162</f>
        <v>-8.3000000000000001E-3</v>
      </c>
      <c r="V162" s="84">
        <f t="shared" ref="V162" si="115">Q162-J162</f>
        <v>-3.1999999999999806E-3</v>
      </c>
    </row>
    <row r="163" spans="1:24" ht="6" customHeight="1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</row>
    <row r="164" spans="1:24" ht="15" customHeight="1">
      <c r="A164" s="137" t="s">
        <v>232</v>
      </c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</row>
    <row r="165" spans="1:24">
      <c r="A165" s="127">
        <v>133</v>
      </c>
      <c r="B165" s="120" t="s">
        <v>188</v>
      </c>
      <c r="C165" s="121" t="s">
        <v>189</v>
      </c>
      <c r="D165" s="2">
        <v>404513226.82999998</v>
      </c>
      <c r="E165" s="3">
        <f t="shared" ref="E165:E174" si="116">(D165/$D$175)</f>
        <v>8.7813218701799228E-3</v>
      </c>
      <c r="F165" s="2">
        <v>1024.19</v>
      </c>
      <c r="G165" s="2">
        <v>1024.19</v>
      </c>
      <c r="H165" s="60">
        <v>21</v>
      </c>
      <c r="I165" s="5">
        <v>2.3E-3</v>
      </c>
      <c r="J165" s="5">
        <v>9.3200000000000005E-2</v>
      </c>
      <c r="K165" s="2">
        <v>405528363.41000003</v>
      </c>
      <c r="L165" s="3">
        <f t="shared" ref="L165:L174" si="117">(K165/$K$175)</f>
        <v>8.8334314755149652E-3</v>
      </c>
      <c r="M165" s="2">
        <v>1026.76</v>
      </c>
      <c r="N165" s="2">
        <v>1026.76</v>
      </c>
      <c r="O165" s="60">
        <v>21</v>
      </c>
      <c r="P165" s="5">
        <v>2.7000000000000001E-3</v>
      </c>
      <c r="Q165" s="5">
        <v>9.5399999999999999E-2</v>
      </c>
      <c r="R165" s="82">
        <f t="shared" ref="R165" si="118">((K165-D165)/D165)</f>
        <v>2.5095262964705536E-3</v>
      </c>
      <c r="S165" s="82">
        <f t="shared" ref="S165" si="119">((N165-G165)/G165)</f>
        <v>2.5093000322205217E-3</v>
      </c>
      <c r="T165" s="82">
        <f t="shared" ref="T165" si="120">((O165-H165)/H165)</f>
        <v>0</v>
      </c>
      <c r="U165" s="82">
        <f t="shared" ref="U165" si="121">P165-I165</f>
        <v>4.0000000000000018E-4</v>
      </c>
      <c r="V165" s="84">
        <f t="shared" ref="V165" si="122">Q165-J165</f>
        <v>2.1999999999999936E-3</v>
      </c>
      <c r="X165" s="71"/>
    </row>
    <row r="166" spans="1:24">
      <c r="A166" s="127">
        <v>134</v>
      </c>
      <c r="B166" s="120" t="s">
        <v>190</v>
      </c>
      <c r="C166" s="121" t="s">
        <v>58</v>
      </c>
      <c r="D166" s="2">
        <v>52848635.340000004</v>
      </c>
      <c r="E166" s="3">
        <f t="shared" si="116"/>
        <v>1.1472576087489456E-3</v>
      </c>
      <c r="F166" s="17">
        <v>108.45</v>
      </c>
      <c r="G166" s="17">
        <v>108.45</v>
      </c>
      <c r="H166" s="60">
        <v>60</v>
      </c>
      <c r="I166" s="5">
        <v>1.2999999999999999E-3</v>
      </c>
      <c r="J166" s="5">
        <v>0.1133</v>
      </c>
      <c r="K166" s="2">
        <v>53962953.979999997</v>
      </c>
      <c r="L166" s="3">
        <f t="shared" si="117"/>
        <v>1.1754493623834723E-3</v>
      </c>
      <c r="M166" s="17">
        <v>108.57</v>
      </c>
      <c r="N166" s="17">
        <v>108.57</v>
      </c>
      <c r="O166" s="60">
        <v>60</v>
      </c>
      <c r="P166" s="5">
        <v>1.1000000000000001E-3</v>
      </c>
      <c r="Q166" s="5">
        <v>0.11219999999999999</v>
      </c>
      <c r="R166" s="82">
        <f t="shared" ref="R166:R176" si="123">((K166-D166)/D166)</f>
        <v>2.1085097710301502E-2</v>
      </c>
      <c r="S166" s="82">
        <f t="shared" ref="S166:S175" si="124">((N166-G166)/G166)</f>
        <v>1.1065006915628431E-3</v>
      </c>
      <c r="T166" s="82">
        <f t="shared" ref="T166:T175" si="125">((O166-H166)/H166)</f>
        <v>0</v>
      </c>
      <c r="U166" s="82">
        <f t="shared" ref="U166:U175" si="126">P166-I166</f>
        <v>-1.9999999999999987E-4</v>
      </c>
      <c r="V166" s="84">
        <f t="shared" ref="V166:V175" si="127">Q166-J166</f>
        <v>-1.1000000000000038E-3</v>
      </c>
    </row>
    <row r="167" spans="1:24">
      <c r="A167" s="129">
        <v>135</v>
      </c>
      <c r="B167" s="130" t="s">
        <v>191</v>
      </c>
      <c r="C167" s="121" t="s">
        <v>64</v>
      </c>
      <c r="D167" s="9">
        <v>54153724.020000003</v>
      </c>
      <c r="E167" s="3">
        <f t="shared" si="116"/>
        <v>1.1755889537040133E-3</v>
      </c>
      <c r="F167" s="17">
        <v>103.59601000000001</v>
      </c>
      <c r="G167" s="17">
        <v>110.69825</v>
      </c>
      <c r="H167" s="60">
        <v>10</v>
      </c>
      <c r="I167" s="5">
        <v>2.2000000000000001E-3</v>
      </c>
      <c r="J167" s="5">
        <v>8.0799999999999997E-2</v>
      </c>
      <c r="K167" s="9">
        <v>54170003.240000002</v>
      </c>
      <c r="L167" s="3">
        <f t="shared" si="117"/>
        <v>1.1799594179437956E-3</v>
      </c>
      <c r="M167" s="17">
        <v>103.62</v>
      </c>
      <c r="N167" s="17">
        <v>110.45</v>
      </c>
      <c r="O167" s="60">
        <v>10</v>
      </c>
      <c r="P167" s="5">
        <v>-1E-3</v>
      </c>
      <c r="Q167" s="5">
        <v>7.9799999999999996E-2</v>
      </c>
      <c r="R167" s="82">
        <f t="shared" si="123"/>
        <v>3.0061127456325223E-4</v>
      </c>
      <c r="S167" s="82">
        <f t="shared" si="124"/>
        <v>-2.2425828773264146E-3</v>
      </c>
      <c r="T167" s="82">
        <f t="shared" si="125"/>
        <v>0</v>
      </c>
      <c r="U167" s="82">
        <f t="shared" si="126"/>
        <v>-3.2000000000000002E-3</v>
      </c>
      <c r="V167" s="84">
        <f t="shared" si="127"/>
        <v>-1.0000000000000009E-3</v>
      </c>
    </row>
    <row r="168" spans="1:24">
      <c r="A168" s="129">
        <v>136</v>
      </c>
      <c r="B168" s="120" t="s">
        <v>192</v>
      </c>
      <c r="C168" s="121" t="s">
        <v>27</v>
      </c>
      <c r="D168" s="2">
        <v>8488785388.5299997</v>
      </c>
      <c r="E168" s="3">
        <f t="shared" si="116"/>
        <v>0.18427767459601382</v>
      </c>
      <c r="F168" s="17">
        <v>131.62</v>
      </c>
      <c r="G168" s="17">
        <v>131.62</v>
      </c>
      <c r="H168" s="60">
        <v>603</v>
      </c>
      <c r="I168" s="5">
        <v>2.3E-3</v>
      </c>
      <c r="J168" s="5">
        <v>0.12909999999999999</v>
      </c>
      <c r="K168" s="2">
        <v>8430758217.1499996</v>
      </c>
      <c r="L168" s="3">
        <f t="shared" si="117"/>
        <v>0.183643196672129</v>
      </c>
      <c r="M168" s="17">
        <v>131.94</v>
      </c>
      <c r="N168" s="17">
        <v>131.94</v>
      </c>
      <c r="O168" s="60">
        <v>611</v>
      </c>
      <c r="P168" s="5">
        <v>2.3999999999999998E-3</v>
      </c>
      <c r="Q168" s="5">
        <v>0.12939999999999999</v>
      </c>
      <c r="R168" s="82">
        <f t="shared" si="123"/>
        <v>-6.8357448944823263E-3</v>
      </c>
      <c r="S168" s="82">
        <f t="shared" si="124"/>
        <v>2.431241452666716E-3</v>
      </c>
      <c r="T168" s="82">
        <f t="shared" si="125"/>
        <v>1.3266998341625208E-2</v>
      </c>
      <c r="U168" s="82">
        <f t="shared" si="126"/>
        <v>9.9999999999999829E-5</v>
      </c>
      <c r="V168" s="84">
        <f t="shared" si="127"/>
        <v>2.9999999999999472E-4</v>
      </c>
    </row>
    <row r="169" spans="1:24">
      <c r="A169" s="129">
        <v>137</v>
      </c>
      <c r="B169" s="120" t="s">
        <v>193</v>
      </c>
      <c r="C169" s="121" t="s">
        <v>186</v>
      </c>
      <c r="D169" s="2">
        <v>18227385983.650002</v>
      </c>
      <c r="E169" s="3">
        <f t="shared" si="116"/>
        <v>0.39568679726189399</v>
      </c>
      <c r="F169" s="7">
        <v>1198.6600000000001</v>
      </c>
      <c r="G169" s="7">
        <v>1198.6600000000001</v>
      </c>
      <c r="H169" s="60">
        <v>7270</v>
      </c>
      <c r="I169" s="5">
        <v>2.3E-3</v>
      </c>
      <c r="J169" s="5">
        <v>9.5500000000000002E-2</v>
      </c>
      <c r="K169" s="2">
        <v>18058937413.5</v>
      </c>
      <c r="L169" s="3">
        <f t="shared" si="117"/>
        <v>0.39336924505446813</v>
      </c>
      <c r="M169" s="7">
        <v>1201.24</v>
      </c>
      <c r="N169" s="7">
        <v>1201.24</v>
      </c>
      <c r="O169" s="60">
        <v>7279</v>
      </c>
      <c r="P169" s="5">
        <v>2.2000000000000001E-3</v>
      </c>
      <c r="Q169" s="5">
        <v>9.7699999999999995E-2</v>
      </c>
      <c r="R169" s="82">
        <f t="shared" si="123"/>
        <v>-9.2415100169108283E-3</v>
      </c>
      <c r="S169" s="82">
        <f t="shared" si="124"/>
        <v>2.1524035172608806E-3</v>
      </c>
      <c r="T169" s="82">
        <f t="shared" si="125"/>
        <v>1.2379642365887209E-3</v>
      </c>
      <c r="U169" s="82">
        <f t="shared" si="126"/>
        <v>-9.9999999999999829E-5</v>
      </c>
      <c r="V169" s="84">
        <f t="shared" si="127"/>
        <v>2.1999999999999936E-3</v>
      </c>
    </row>
    <row r="170" spans="1:24">
      <c r="A170" s="129">
        <v>138</v>
      </c>
      <c r="B170" s="120" t="s">
        <v>194</v>
      </c>
      <c r="C170" s="121" t="s">
        <v>78</v>
      </c>
      <c r="D170" s="2">
        <v>753829596.85000002</v>
      </c>
      <c r="E170" s="3">
        <f t="shared" si="116"/>
        <v>1.6364410076483777E-2</v>
      </c>
      <c r="F170" s="14">
        <v>103.25</v>
      </c>
      <c r="G170" s="14">
        <v>103.25</v>
      </c>
      <c r="H170" s="60">
        <v>519</v>
      </c>
      <c r="I170" s="5">
        <v>2.3999999999999998E-3</v>
      </c>
      <c r="J170" s="5">
        <v>9.1200000000000003E-2</v>
      </c>
      <c r="K170" s="2">
        <v>775726941.55999994</v>
      </c>
      <c r="L170" s="3">
        <f t="shared" si="117"/>
        <v>1.689729104115258E-2</v>
      </c>
      <c r="M170" s="14">
        <v>103.45</v>
      </c>
      <c r="N170" s="14">
        <v>103.45</v>
      </c>
      <c r="O170" s="60">
        <v>520</v>
      </c>
      <c r="P170" s="5">
        <v>2E-3</v>
      </c>
      <c r="Q170" s="5">
        <v>9.3299999999999994E-2</v>
      </c>
      <c r="R170" s="82">
        <f t="shared" si="123"/>
        <v>2.9048136079429021E-2</v>
      </c>
      <c r="S170" s="82">
        <f t="shared" si="124"/>
        <v>1.9370460048426426E-3</v>
      </c>
      <c r="T170" s="82">
        <f t="shared" si="125"/>
        <v>1.9267822736030828E-3</v>
      </c>
      <c r="U170" s="82">
        <f t="shared" si="126"/>
        <v>-3.9999999999999975E-4</v>
      </c>
      <c r="V170" s="84">
        <f t="shared" si="127"/>
        <v>2.0999999999999908E-3</v>
      </c>
    </row>
    <row r="171" spans="1:24" ht="15.75" customHeight="1">
      <c r="A171" s="129">
        <v>139</v>
      </c>
      <c r="B171" s="120" t="s">
        <v>195</v>
      </c>
      <c r="C171" s="121" t="s">
        <v>42</v>
      </c>
      <c r="D171" s="2">
        <v>8374049035.9799995</v>
      </c>
      <c r="E171" s="3">
        <f t="shared" si="116"/>
        <v>0.18178693566555254</v>
      </c>
      <c r="F171" s="14">
        <v>127.23</v>
      </c>
      <c r="G171" s="14">
        <v>127.23</v>
      </c>
      <c r="H171" s="60">
        <v>1930</v>
      </c>
      <c r="I171" s="5">
        <v>6.9999999999999999E-4</v>
      </c>
      <c r="J171" s="5">
        <v>5.1299999999999998E-2</v>
      </c>
      <c r="K171" s="2">
        <v>8388657501.1000004</v>
      </c>
      <c r="L171" s="3">
        <f t="shared" si="117"/>
        <v>0.18272613679703023</v>
      </c>
      <c r="M171" s="14">
        <v>127.39</v>
      </c>
      <c r="N171" s="14">
        <v>127.39</v>
      </c>
      <c r="O171" s="60">
        <v>1933</v>
      </c>
      <c r="P171" s="5">
        <v>1.2999999999999999E-3</v>
      </c>
      <c r="Q171" s="5">
        <v>5.2600000000000001E-2</v>
      </c>
      <c r="R171" s="82">
        <f t="shared" si="123"/>
        <v>1.7444924262126963E-3</v>
      </c>
      <c r="S171" s="82">
        <f t="shared" si="124"/>
        <v>1.2575650396918698E-3</v>
      </c>
      <c r="T171" s="82">
        <f t="shared" si="125"/>
        <v>1.5544041450777201E-3</v>
      </c>
      <c r="U171" s="82">
        <f t="shared" si="126"/>
        <v>5.9999999999999995E-4</v>
      </c>
      <c r="V171" s="84">
        <f t="shared" si="127"/>
        <v>1.3000000000000025E-3</v>
      </c>
    </row>
    <row r="172" spans="1:24">
      <c r="A172" s="129">
        <v>140</v>
      </c>
      <c r="B172" s="120" t="s">
        <v>196</v>
      </c>
      <c r="C172" s="121" t="s">
        <v>45</v>
      </c>
      <c r="D172" s="2">
        <v>5185240454.4700003</v>
      </c>
      <c r="E172" s="3">
        <f t="shared" si="116"/>
        <v>0.11256310643240061</v>
      </c>
      <c r="F172" s="14">
        <v>1.1665000000000001</v>
      </c>
      <c r="G172" s="14">
        <v>1.1665000000000001</v>
      </c>
      <c r="H172" s="60">
        <v>569</v>
      </c>
      <c r="I172" s="5">
        <v>0.11</v>
      </c>
      <c r="J172" s="5">
        <v>0.1162</v>
      </c>
      <c r="K172" s="2">
        <v>5191367709.2600002</v>
      </c>
      <c r="L172" s="3">
        <f t="shared" si="117"/>
        <v>0.11308109385578552</v>
      </c>
      <c r="M172" s="14">
        <v>1.1686000000000001</v>
      </c>
      <c r="N172" s="14">
        <v>1.1686000000000001</v>
      </c>
      <c r="O172" s="60">
        <v>574</v>
      </c>
      <c r="P172" s="5">
        <v>1.8E-3</v>
      </c>
      <c r="Q172" s="5">
        <v>0.1038</v>
      </c>
      <c r="R172" s="82">
        <f t="shared" si="123"/>
        <v>1.1816722568223209E-3</v>
      </c>
      <c r="S172" s="82">
        <f t="shared" si="124"/>
        <v>1.8002571795970772E-3</v>
      </c>
      <c r="T172" s="82">
        <f t="shared" si="125"/>
        <v>8.7873462214411256E-3</v>
      </c>
      <c r="U172" s="82">
        <f t="shared" si="126"/>
        <v>-0.1082</v>
      </c>
      <c r="V172" s="84">
        <f t="shared" si="127"/>
        <v>-1.2399999999999994E-2</v>
      </c>
    </row>
    <row r="173" spans="1:24">
      <c r="A173" s="129">
        <v>141</v>
      </c>
      <c r="B173" s="120" t="s">
        <v>197</v>
      </c>
      <c r="C173" s="121" t="s">
        <v>198</v>
      </c>
      <c r="D173" s="2">
        <v>333046403.69</v>
      </c>
      <c r="E173" s="3">
        <f t="shared" ref="E173" si="128">(D173/$D$175)</f>
        <v>7.2298937946393789E-3</v>
      </c>
      <c r="F173" s="18">
        <v>99.279700000000005</v>
      </c>
      <c r="G173" s="18">
        <v>99.312899999999999</v>
      </c>
      <c r="H173" s="61">
        <v>138</v>
      </c>
      <c r="I173" s="5">
        <v>3.2600000000000001E-4</v>
      </c>
      <c r="J173" s="5">
        <v>-7.2030000000000002E-3</v>
      </c>
      <c r="K173" s="2">
        <v>340237080.16000003</v>
      </c>
      <c r="L173" s="3">
        <f t="shared" ref="L173" si="129">(K173/$K$175)</f>
        <v>7.4112225042667389E-3</v>
      </c>
      <c r="M173" s="18">
        <v>99.324600000000004</v>
      </c>
      <c r="N173" s="18">
        <v>99.367400000000004</v>
      </c>
      <c r="O173" s="61">
        <v>142</v>
      </c>
      <c r="P173" s="5">
        <v>4.4900000000000002E-4</v>
      </c>
      <c r="Q173" s="5">
        <v>-6.7539999999999996E-3</v>
      </c>
      <c r="R173" s="82">
        <f t="shared" ref="R173" si="130">((K173-D173)/D173)</f>
        <v>2.1590614371843269E-2</v>
      </c>
      <c r="S173" s="82">
        <f t="shared" ref="S173" si="131">((N173-G173)/G173)</f>
        <v>5.4877060281196535E-4</v>
      </c>
      <c r="T173" s="82">
        <f t="shared" ref="T173" si="132">((O173-H173)/H173)</f>
        <v>2.8985507246376812E-2</v>
      </c>
      <c r="U173" s="82">
        <f t="shared" ref="U173" si="133">P173-I173</f>
        <v>1.2300000000000001E-4</v>
      </c>
      <c r="V173" s="84">
        <f t="shared" ref="V173" si="134">Q173-J173</f>
        <v>4.4900000000000061E-4</v>
      </c>
    </row>
    <row r="174" spans="1:24">
      <c r="A174" s="129">
        <v>142</v>
      </c>
      <c r="B174" s="120" t="s">
        <v>245</v>
      </c>
      <c r="C174" s="121" t="s">
        <v>198</v>
      </c>
      <c r="D174" s="2">
        <v>41930000</v>
      </c>
      <c r="E174" s="3">
        <f t="shared" si="116"/>
        <v>9.1023185793473102E-4</v>
      </c>
      <c r="F174" s="18">
        <v>100</v>
      </c>
      <c r="G174" s="18">
        <v>100</v>
      </c>
      <c r="H174" s="61">
        <v>46</v>
      </c>
      <c r="I174" s="5">
        <v>0</v>
      </c>
      <c r="J174" s="12">
        <v>0</v>
      </c>
      <c r="K174" s="2">
        <v>42030000</v>
      </c>
      <c r="L174" s="3">
        <f t="shared" si="117"/>
        <v>9.1551950101337537E-4</v>
      </c>
      <c r="M174" s="18">
        <v>100.0354</v>
      </c>
      <c r="N174" s="18">
        <v>100.0354</v>
      </c>
      <c r="O174" s="61">
        <v>47</v>
      </c>
      <c r="P174" s="5">
        <v>3.5399999999999999E-4</v>
      </c>
      <c r="Q174" s="12">
        <v>3.9999999999999998E-6</v>
      </c>
      <c r="R174" s="82">
        <f t="shared" si="123"/>
        <v>2.3849272597185785E-3</v>
      </c>
      <c r="S174" s="82">
        <f t="shared" si="124"/>
        <v>3.5399999999995656E-4</v>
      </c>
      <c r="T174" s="82">
        <f t="shared" si="125"/>
        <v>2.1739130434782608E-2</v>
      </c>
      <c r="U174" s="82">
        <f t="shared" si="126"/>
        <v>3.5399999999999999E-4</v>
      </c>
      <c r="V174" s="84">
        <f t="shared" si="127"/>
        <v>3.9999999999999998E-6</v>
      </c>
    </row>
    <row r="175" spans="1:24">
      <c r="A175" s="86"/>
      <c r="B175" s="19"/>
      <c r="C175" s="67" t="s">
        <v>46</v>
      </c>
      <c r="D175" s="59">
        <f>SUM(D161:D174)</f>
        <v>46065186177</v>
      </c>
      <c r="E175" s="105">
        <f>(D175/$D$176)</f>
        <v>2.2805902951187302E-2</v>
      </c>
      <c r="F175" s="30"/>
      <c r="G175" s="34"/>
      <c r="H175" s="69">
        <f>SUM(H161:H174)</f>
        <v>27422</v>
      </c>
      <c r="I175" s="35"/>
      <c r="J175" s="35"/>
      <c r="K175" s="59">
        <f>SUM(K161:K174)</f>
        <v>45908361267.540009</v>
      </c>
      <c r="L175" s="105">
        <f>(K175/$K$176)</f>
        <v>2.268426209756114E-2</v>
      </c>
      <c r="M175" s="30"/>
      <c r="N175" s="34"/>
      <c r="O175" s="69">
        <f>SUM(O161:O174)</f>
        <v>27445</v>
      </c>
      <c r="P175" s="35"/>
      <c r="Q175" s="35"/>
      <c r="R175" s="82">
        <f t="shared" si="123"/>
        <v>-3.4044128001005009E-3</v>
      </c>
      <c r="S175" s="82" t="e">
        <f t="shared" si="124"/>
        <v>#DIV/0!</v>
      </c>
      <c r="T175" s="82">
        <f t="shared" si="125"/>
        <v>8.3874261541827728E-4</v>
      </c>
      <c r="U175" s="82">
        <f t="shared" si="126"/>
        <v>0</v>
      </c>
      <c r="V175" s="84">
        <f t="shared" si="127"/>
        <v>0</v>
      </c>
    </row>
    <row r="176" spans="1:24">
      <c r="A176" s="87"/>
      <c r="B176" s="38"/>
      <c r="C176" s="68" t="s">
        <v>199</v>
      </c>
      <c r="D176" s="70">
        <f>SUM(D22,D55,D89,D116,D124,D151,D157,D175)</f>
        <v>2019879952817.2942</v>
      </c>
      <c r="E176" s="39"/>
      <c r="F176" s="39"/>
      <c r="G176" s="40"/>
      <c r="H176" s="70">
        <f>SUM(H22,H55,H89,H116,H124,H151,H157,H175)</f>
        <v>764199</v>
      </c>
      <c r="I176" s="41"/>
      <c r="J176" s="41"/>
      <c r="K176" s="70">
        <f>SUM(K22,K55,K89,K116,K124,K151,K157,K175)</f>
        <v>2023797867882.8513</v>
      </c>
      <c r="L176" s="39"/>
      <c r="M176" s="39"/>
      <c r="N176" s="40"/>
      <c r="O176" s="70">
        <f>SUM(O22,O55,O89,O116,O124,O151,O157,O175)</f>
        <v>764622</v>
      </c>
      <c r="P176" s="42"/>
      <c r="Q176" s="70"/>
      <c r="R176" s="25">
        <f t="shared" si="123"/>
        <v>1.9396771872964469E-3</v>
      </c>
      <c r="S176" s="25"/>
      <c r="T176" s="25"/>
      <c r="U176" s="25"/>
      <c r="V176" s="25"/>
    </row>
    <row r="177" spans="1:22" ht="6.75" customHeight="1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9"/>
    </row>
    <row r="178" spans="1:22" ht="15.75">
      <c r="A178" s="136" t="s">
        <v>200</v>
      </c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</row>
    <row r="179" spans="1:22">
      <c r="A179" s="129">
        <v>1</v>
      </c>
      <c r="B179" s="120" t="s">
        <v>201</v>
      </c>
      <c r="C179" s="121" t="s">
        <v>202</v>
      </c>
      <c r="D179" s="2">
        <v>92548651821</v>
      </c>
      <c r="E179" s="3">
        <f>(D179/$D$181)</f>
        <v>0.97845560602463932</v>
      </c>
      <c r="F179" s="14">
        <v>108.4</v>
      </c>
      <c r="G179" s="14">
        <v>108.4</v>
      </c>
      <c r="H179" s="64">
        <v>0</v>
      </c>
      <c r="I179" s="20">
        <v>0</v>
      </c>
      <c r="J179" s="20">
        <v>0.13800000000000001</v>
      </c>
      <c r="K179" s="2">
        <v>92548651821</v>
      </c>
      <c r="L179" s="3">
        <f>(K179/$K$181)</f>
        <v>0.97845560602463932</v>
      </c>
      <c r="M179" s="14">
        <v>108.4</v>
      </c>
      <c r="N179" s="14">
        <v>108.4</v>
      </c>
      <c r="O179" s="64">
        <v>0</v>
      </c>
      <c r="P179" s="20">
        <v>0</v>
      </c>
      <c r="Q179" s="20">
        <v>0.13800000000000001</v>
      </c>
      <c r="R179" s="82">
        <f t="shared" ref="R179:R180" si="135">((K179-D179)/D179)</f>
        <v>0</v>
      </c>
      <c r="S179" s="82">
        <f t="shared" ref="S179:S180" si="136">((N179-G179)/G179)</f>
        <v>0</v>
      </c>
      <c r="T179" s="82" t="e">
        <f t="shared" ref="T179:T180" si="137">((O179-H179)/H179)</f>
        <v>#DIV/0!</v>
      </c>
      <c r="U179" s="82">
        <f t="shared" ref="U179:U180" si="138">P179-I179</f>
        <v>0</v>
      </c>
      <c r="V179" s="84">
        <f t="shared" ref="V179:V180" si="139">Q179-J179</f>
        <v>0</v>
      </c>
    </row>
    <row r="180" spans="1:22">
      <c r="A180" s="124">
        <v>2</v>
      </c>
      <c r="B180" s="120" t="s">
        <v>203</v>
      </c>
      <c r="C180" s="121" t="s">
        <v>45</v>
      </c>
      <c r="D180" s="2">
        <v>2037807954.1300001</v>
      </c>
      <c r="E180" s="3">
        <f>(D180/$D$181)</f>
        <v>2.1544393975360617E-2</v>
      </c>
      <c r="F180" s="21">
        <v>1000000</v>
      </c>
      <c r="G180" s="21">
        <v>1000000</v>
      </c>
      <c r="H180" s="64">
        <v>0</v>
      </c>
      <c r="I180" s="20">
        <v>0.16650000000000001</v>
      </c>
      <c r="J180" s="20">
        <v>0.16650000000000001</v>
      </c>
      <c r="K180" s="2">
        <v>2037807954.1300001</v>
      </c>
      <c r="L180" s="3">
        <f>(K180/$K$181)</f>
        <v>2.1544393975360617E-2</v>
      </c>
      <c r="M180" s="21">
        <v>1000000</v>
      </c>
      <c r="N180" s="21">
        <v>1000000</v>
      </c>
      <c r="O180" s="64">
        <v>0</v>
      </c>
      <c r="P180" s="20">
        <v>0.16650000000000001</v>
      </c>
      <c r="Q180" s="20">
        <v>0.16650000000000001</v>
      </c>
      <c r="R180" s="82">
        <f t="shared" si="135"/>
        <v>0</v>
      </c>
      <c r="S180" s="82">
        <f t="shared" si="136"/>
        <v>0</v>
      </c>
      <c r="T180" s="82" t="e">
        <f t="shared" si="137"/>
        <v>#DIV/0!</v>
      </c>
      <c r="U180" s="82">
        <f t="shared" si="138"/>
        <v>0</v>
      </c>
      <c r="V180" s="84">
        <f t="shared" si="139"/>
        <v>0</v>
      </c>
    </row>
    <row r="181" spans="1:22">
      <c r="A181" s="38"/>
      <c r="B181" s="38"/>
      <c r="C181" s="68" t="s">
        <v>204</v>
      </c>
      <c r="D181" s="74">
        <f>SUM(D179:D180)</f>
        <v>94586459775.130005</v>
      </c>
      <c r="E181" s="24"/>
      <c r="F181" s="22"/>
      <c r="G181" s="22"/>
      <c r="H181" s="74">
        <f>SUM(H179:H180)</f>
        <v>0</v>
      </c>
      <c r="I181" s="23"/>
      <c r="J181" s="23"/>
      <c r="K181" s="74">
        <f>SUM(K179:K180)</f>
        <v>94586459775.130005</v>
      </c>
      <c r="L181" s="24"/>
      <c r="M181" s="22"/>
      <c r="N181" s="22"/>
      <c r="O181" s="23"/>
      <c r="P181" s="23"/>
      <c r="Q181" s="74"/>
      <c r="R181" s="25">
        <f>((K181-D181)/D181)</f>
        <v>0</v>
      </c>
      <c r="S181" s="26"/>
      <c r="T181" s="26"/>
      <c r="U181" s="25">
        <f t="shared" ref="U181:V181" si="140">O181-H181</f>
        <v>0</v>
      </c>
      <c r="V181" s="88">
        <f t="shared" si="140"/>
        <v>0</v>
      </c>
    </row>
    <row r="182" spans="1:22" ht="8.25" customHeight="1">
      <c r="A182" s="135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</row>
    <row r="183" spans="1:22" ht="15.75">
      <c r="A183" s="136" t="s">
        <v>205</v>
      </c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</row>
    <row r="184" spans="1:22">
      <c r="A184" s="124">
        <v>1</v>
      </c>
      <c r="B184" s="120" t="s">
        <v>206</v>
      </c>
      <c r="C184" s="121" t="s">
        <v>74</v>
      </c>
      <c r="D184" s="27">
        <v>709554821.44713259</v>
      </c>
      <c r="E184" s="10">
        <f t="shared" ref="E184:E195" si="141">(D184/$D$196)</f>
        <v>7.2875614523185375E-2</v>
      </c>
      <c r="F184" s="21">
        <v>163.36015228436344</v>
      </c>
      <c r="G184" s="21">
        <v>166.33645162426615</v>
      </c>
      <c r="H184" s="63">
        <v>103</v>
      </c>
      <c r="I184" s="28">
        <v>3.4524639925999997E-5</v>
      </c>
      <c r="J184" s="28">
        <v>0.25588714394099998</v>
      </c>
      <c r="K184" s="27">
        <v>709470526.97666359</v>
      </c>
      <c r="L184" s="10">
        <f t="shared" ref="L184:L195" si="142">(K184/$K$196)</f>
        <v>7.2922461971675831E-2</v>
      </c>
      <c r="M184" s="21">
        <v>163.34074524615255</v>
      </c>
      <c r="N184" s="21">
        <v>166.31704110279728</v>
      </c>
      <c r="O184" s="63">
        <v>103</v>
      </c>
      <c r="P184" s="28">
        <v>-1.166943341602833E-4</v>
      </c>
      <c r="Q184" s="28">
        <v>0.254687143941</v>
      </c>
      <c r="R184" s="82">
        <f t="shared" ref="R184" si="143">((K184-D184)/D184)</f>
        <v>-1.187990947578651E-4</v>
      </c>
      <c r="S184" s="82">
        <f t="shared" ref="S184" si="144">((N184-G184)/G184)</f>
        <v>-1.1669433416023848E-4</v>
      </c>
      <c r="T184" s="82">
        <f t="shared" ref="T184" si="145">((O184-H184)/H184)</f>
        <v>0</v>
      </c>
      <c r="U184" s="82">
        <f t="shared" ref="U184" si="146">P184-I184</f>
        <v>-1.5121897408628329E-4</v>
      </c>
      <c r="V184" s="84">
        <f t="shared" ref="V184" si="147">Q184-J184</f>
        <v>-1.1999999999999789E-3</v>
      </c>
    </row>
    <row r="185" spans="1:22">
      <c r="A185" s="127">
        <v>2</v>
      </c>
      <c r="B185" s="120" t="s">
        <v>207</v>
      </c>
      <c r="C185" s="121" t="s">
        <v>186</v>
      </c>
      <c r="D185" s="27">
        <v>734764824.28999996</v>
      </c>
      <c r="E185" s="10">
        <f t="shared" si="141"/>
        <v>7.546483581204684E-2</v>
      </c>
      <c r="F185" s="21">
        <v>20.9</v>
      </c>
      <c r="G185" s="21">
        <v>23.1</v>
      </c>
      <c r="H185" s="63">
        <v>138</v>
      </c>
      <c r="I185" s="28">
        <v>4.2299999999999997E-2</v>
      </c>
      <c r="J185" s="28">
        <v>0.41710000000000003</v>
      </c>
      <c r="K185" s="27">
        <v>734532786.04999995</v>
      </c>
      <c r="L185" s="10">
        <f t="shared" si="142"/>
        <v>7.5498469803865556E-2</v>
      </c>
      <c r="M185" s="21">
        <v>20.89</v>
      </c>
      <c r="N185" s="21">
        <v>23.09</v>
      </c>
      <c r="O185" s="63">
        <v>138</v>
      </c>
      <c r="P185" s="28">
        <v>-2.9999999999999997E-4</v>
      </c>
      <c r="Q185" s="28">
        <v>0.41670000000000001</v>
      </c>
      <c r="R185" s="82">
        <f t="shared" ref="R185:R196" si="148">((K185-D185)/D185)</f>
        <v>-3.1579933106382313E-4</v>
      </c>
      <c r="S185" s="82">
        <f t="shared" ref="S185:S196" si="149">((N185-G185)/G185)</f>
        <v>-4.3290043290050055E-4</v>
      </c>
      <c r="T185" s="82">
        <f t="shared" ref="T185:T196" si="150">((O185-H185)/H185)</f>
        <v>0</v>
      </c>
      <c r="U185" s="82">
        <f t="shared" ref="U185:U196" si="151">P185-I185</f>
        <v>-4.2599999999999999E-2</v>
      </c>
      <c r="V185" s="84">
        <f t="shared" ref="V185:V196" si="152">Q185-J185</f>
        <v>-4.0000000000001146E-4</v>
      </c>
    </row>
    <row r="186" spans="1:22">
      <c r="A186" s="126">
        <v>3</v>
      </c>
      <c r="B186" s="120" t="s">
        <v>208</v>
      </c>
      <c r="C186" s="121" t="s">
        <v>36</v>
      </c>
      <c r="D186" s="27">
        <v>287330751.57999998</v>
      </c>
      <c r="E186" s="10">
        <f t="shared" si="141"/>
        <v>2.9510623365359468E-2</v>
      </c>
      <c r="F186" s="21">
        <v>21.438593999999998</v>
      </c>
      <c r="G186" s="21">
        <v>21.765259</v>
      </c>
      <c r="H186" s="63">
        <v>65</v>
      </c>
      <c r="I186" s="28">
        <v>1.352816309760918E-3</v>
      </c>
      <c r="J186" s="28">
        <v>0.51421703644628547</v>
      </c>
      <c r="K186" s="27">
        <v>284260019.08999997</v>
      </c>
      <c r="L186" s="10">
        <f t="shared" si="142"/>
        <v>2.9217479294725093E-2</v>
      </c>
      <c r="M186" s="21">
        <v>21.209477</v>
      </c>
      <c r="N186" s="21">
        <v>21.536756</v>
      </c>
      <c r="O186" s="63">
        <v>65</v>
      </c>
      <c r="P186" s="28">
        <v>-1.0687100051471665E-2</v>
      </c>
      <c r="Q186" s="28">
        <v>0.49803444747814107</v>
      </c>
      <c r="R186" s="82">
        <f t="shared" si="148"/>
        <v>-1.0687100051471663E-2</v>
      </c>
      <c r="S186" s="82">
        <f t="shared" si="149"/>
        <v>-1.0498519682214666E-2</v>
      </c>
      <c r="T186" s="82">
        <f t="shared" si="150"/>
        <v>0</v>
      </c>
      <c r="U186" s="82">
        <f t="shared" si="151"/>
        <v>-1.2039916361232583E-2</v>
      </c>
      <c r="V186" s="84">
        <f t="shared" si="152"/>
        <v>-1.6182588968144396E-2</v>
      </c>
    </row>
    <row r="187" spans="1:22">
      <c r="A187" s="126">
        <v>4</v>
      </c>
      <c r="B187" s="120" t="s">
        <v>209</v>
      </c>
      <c r="C187" s="121" t="s">
        <v>36</v>
      </c>
      <c r="D187" s="27">
        <v>426078165.58999997</v>
      </c>
      <c r="E187" s="10">
        <f t="shared" si="141"/>
        <v>4.3760830331552203E-2</v>
      </c>
      <c r="F187" s="21">
        <v>31.973208</v>
      </c>
      <c r="G187" s="21">
        <v>32.362617</v>
      </c>
      <c r="H187" s="63">
        <v>61</v>
      </c>
      <c r="I187" s="28">
        <v>1.9054604749886295E-3</v>
      </c>
      <c r="J187" s="28">
        <v>0.83348664725828026</v>
      </c>
      <c r="K187" s="27">
        <v>430787352.81</v>
      </c>
      <c r="L187" s="10">
        <f t="shared" si="142"/>
        <v>4.4278195018239874E-2</v>
      </c>
      <c r="M187" s="21">
        <v>32.326588999999998</v>
      </c>
      <c r="N187" s="21">
        <v>32.727229000000001</v>
      </c>
      <c r="O187" s="63">
        <v>61</v>
      </c>
      <c r="P187" s="28">
        <v>1.1052402118468363E-2</v>
      </c>
      <c r="Q187" s="28">
        <v>0.85375107896262104</v>
      </c>
      <c r="R187" s="82">
        <f t="shared" si="148"/>
        <v>1.1052402118468361E-2</v>
      </c>
      <c r="S187" s="82">
        <f t="shared" si="149"/>
        <v>1.1266455985311726E-2</v>
      </c>
      <c r="T187" s="82">
        <f t="shared" si="150"/>
        <v>0</v>
      </c>
      <c r="U187" s="82">
        <f t="shared" si="151"/>
        <v>9.1469416434797335E-3</v>
      </c>
      <c r="V187" s="84">
        <f t="shared" si="152"/>
        <v>2.026443170434078E-2</v>
      </c>
    </row>
    <row r="188" spans="1:22">
      <c r="A188" s="127">
        <v>5</v>
      </c>
      <c r="B188" s="120" t="s">
        <v>210</v>
      </c>
      <c r="C188" s="121" t="s">
        <v>211</v>
      </c>
      <c r="D188" s="27">
        <v>682670567.01999998</v>
      </c>
      <c r="E188" s="10">
        <f t="shared" si="141"/>
        <v>7.011443736934804E-2</v>
      </c>
      <c r="F188" s="21">
        <v>15500</v>
      </c>
      <c r="G188" s="21">
        <v>17750</v>
      </c>
      <c r="H188" s="63">
        <v>223</v>
      </c>
      <c r="I188" s="28">
        <v>-0.01</v>
      </c>
      <c r="J188" s="28">
        <v>0.97</v>
      </c>
      <c r="K188" s="27">
        <v>665134033.71000004</v>
      </c>
      <c r="L188" s="10">
        <f t="shared" si="142"/>
        <v>6.8365364641680498E-2</v>
      </c>
      <c r="M188" s="21">
        <v>15750</v>
      </c>
      <c r="N188" s="21">
        <v>18200</v>
      </c>
      <c r="O188" s="63">
        <v>223</v>
      </c>
      <c r="P188" s="28">
        <v>-0.03</v>
      </c>
      <c r="Q188" s="28">
        <v>0.92</v>
      </c>
      <c r="R188" s="82">
        <f t="shared" si="148"/>
        <v>-2.5688134449022144E-2</v>
      </c>
      <c r="S188" s="82">
        <f t="shared" si="149"/>
        <v>2.5352112676056339E-2</v>
      </c>
      <c r="T188" s="82">
        <f t="shared" si="150"/>
        <v>0</v>
      </c>
      <c r="U188" s="82">
        <f t="shared" si="151"/>
        <v>-1.9999999999999997E-2</v>
      </c>
      <c r="V188" s="84">
        <f t="shared" si="152"/>
        <v>-4.9999999999999933E-2</v>
      </c>
    </row>
    <row r="189" spans="1:22">
      <c r="A189" s="129">
        <v>6</v>
      </c>
      <c r="B189" s="120" t="s">
        <v>212</v>
      </c>
      <c r="C189" s="121" t="s">
        <v>213</v>
      </c>
      <c r="D189" s="27">
        <v>924886008.67999995</v>
      </c>
      <c r="E189" s="10">
        <f t="shared" si="141"/>
        <v>9.4991442816195579E-2</v>
      </c>
      <c r="F189" s="21">
        <v>436</v>
      </c>
      <c r="G189" s="21">
        <v>436</v>
      </c>
      <c r="H189" s="63">
        <v>46</v>
      </c>
      <c r="I189" s="28">
        <v>6.7999999999999996E-3</v>
      </c>
      <c r="J189" s="28">
        <v>0.61699999999999999</v>
      </c>
      <c r="K189" s="27">
        <v>920362566.89999998</v>
      </c>
      <c r="L189" s="10">
        <f t="shared" si="142"/>
        <v>9.4598861732739459E-2</v>
      </c>
      <c r="M189" s="21">
        <v>440</v>
      </c>
      <c r="N189" s="21">
        <v>440</v>
      </c>
      <c r="O189" s="63">
        <v>46</v>
      </c>
      <c r="P189" s="28">
        <v>-4.8999999999999998E-3</v>
      </c>
      <c r="Q189" s="28">
        <v>0.60929999999999995</v>
      </c>
      <c r="R189" s="82">
        <f t="shared" si="148"/>
        <v>-4.8908100431271969E-3</v>
      </c>
      <c r="S189" s="82">
        <f t="shared" si="149"/>
        <v>9.1743119266055051E-3</v>
      </c>
      <c r="T189" s="82">
        <f t="shared" si="150"/>
        <v>0</v>
      </c>
      <c r="U189" s="82">
        <f t="shared" si="151"/>
        <v>-1.1699999999999999E-2</v>
      </c>
      <c r="V189" s="84">
        <f t="shared" si="152"/>
        <v>-7.7000000000000401E-3</v>
      </c>
    </row>
    <row r="190" spans="1:22">
      <c r="A190" s="129">
        <v>7</v>
      </c>
      <c r="B190" s="120" t="s">
        <v>214</v>
      </c>
      <c r="C190" s="121" t="s">
        <v>213</v>
      </c>
      <c r="D190" s="27">
        <v>616833111.58000004</v>
      </c>
      <c r="E190" s="10">
        <f t="shared" si="141"/>
        <v>6.335252852339382E-2</v>
      </c>
      <c r="F190" s="21">
        <v>660</v>
      </c>
      <c r="G190" s="21">
        <v>660</v>
      </c>
      <c r="H190" s="63">
        <v>377</v>
      </c>
      <c r="I190" s="28">
        <v>3.3999999999999998E-3</v>
      </c>
      <c r="J190" s="28">
        <v>0.44319999999999998</v>
      </c>
      <c r="K190" s="27">
        <v>617623432.90999997</v>
      </c>
      <c r="L190" s="10">
        <f t="shared" si="142"/>
        <v>6.348201875435594E-2</v>
      </c>
      <c r="M190" s="21">
        <v>697</v>
      </c>
      <c r="N190" s="21">
        <v>697</v>
      </c>
      <c r="O190" s="63">
        <v>377</v>
      </c>
      <c r="P190" s="28">
        <v>1.5E-3</v>
      </c>
      <c r="Q190" s="28">
        <v>0.44529999999999997</v>
      </c>
      <c r="R190" s="82">
        <f t="shared" si="148"/>
        <v>1.2812563320012745E-3</v>
      </c>
      <c r="S190" s="82">
        <f t="shared" si="149"/>
        <v>5.6060606060606061E-2</v>
      </c>
      <c r="T190" s="82">
        <f t="shared" si="150"/>
        <v>0</v>
      </c>
      <c r="U190" s="82">
        <f t="shared" si="151"/>
        <v>-1.8999999999999998E-3</v>
      </c>
      <c r="V190" s="84">
        <f t="shared" si="152"/>
        <v>2.0999999999999908E-3</v>
      </c>
    </row>
    <row r="191" spans="1:22">
      <c r="A191" s="124">
        <v>8</v>
      </c>
      <c r="B191" s="120" t="s">
        <v>215</v>
      </c>
      <c r="C191" s="121" t="s">
        <v>216</v>
      </c>
      <c r="D191" s="27">
        <v>260619096.38</v>
      </c>
      <c r="E191" s="10">
        <f t="shared" si="141"/>
        <v>2.6767173206481958E-2</v>
      </c>
      <c r="F191" s="21">
        <v>11.48</v>
      </c>
      <c r="G191" s="21">
        <v>11.58</v>
      </c>
      <c r="H191" s="63">
        <v>50</v>
      </c>
      <c r="I191" s="28">
        <v>0</v>
      </c>
      <c r="J191" s="28">
        <v>0.95920000000000005</v>
      </c>
      <c r="K191" s="27">
        <v>259054331.38999999</v>
      </c>
      <c r="L191" s="10">
        <f t="shared" si="142"/>
        <v>2.6626729245380697E-2</v>
      </c>
      <c r="M191" s="21">
        <v>11.41</v>
      </c>
      <c r="N191" s="21">
        <v>11.51</v>
      </c>
      <c r="O191" s="63">
        <v>50</v>
      </c>
      <c r="P191" s="28">
        <v>-4.3E-3</v>
      </c>
      <c r="Q191" s="28">
        <v>0.95069999999999999</v>
      </c>
      <c r="R191" s="82">
        <f t="shared" si="148"/>
        <v>-6.0040304480162808E-3</v>
      </c>
      <c r="S191" s="82">
        <f t="shared" si="149"/>
        <v>-6.0449050086356032E-3</v>
      </c>
      <c r="T191" s="82">
        <f t="shared" si="150"/>
        <v>0</v>
      </c>
      <c r="U191" s="82">
        <f t="shared" si="151"/>
        <v>-4.3E-3</v>
      </c>
      <c r="V191" s="84">
        <f t="shared" si="152"/>
        <v>-8.5000000000000631E-3</v>
      </c>
    </row>
    <row r="192" spans="1:22">
      <c r="A192" s="124">
        <v>9</v>
      </c>
      <c r="B192" s="120" t="s">
        <v>217</v>
      </c>
      <c r="C192" s="121" t="s">
        <v>216</v>
      </c>
      <c r="D192" s="29">
        <v>589547201.27999997</v>
      </c>
      <c r="E192" s="10">
        <f t="shared" si="141"/>
        <v>6.0550098857872652E-2</v>
      </c>
      <c r="F192" s="21">
        <v>7.23</v>
      </c>
      <c r="G192" s="21">
        <v>7.33</v>
      </c>
      <c r="H192" s="63">
        <v>77</v>
      </c>
      <c r="I192" s="28">
        <v>-7.9899999999999999E-2</v>
      </c>
      <c r="J192" s="28">
        <v>0.71389999999999998</v>
      </c>
      <c r="K192" s="29">
        <v>600621681.97000003</v>
      </c>
      <c r="L192" s="10">
        <f t="shared" si="142"/>
        <v>6.1734504954653269E-2</v>
      </c>
      <c r="M192" s="21">
        <v>7.37</v>
      </c>
      <c r="N192" s="21">
        <v>7.47</v>
      </c>
      <c r="O192" s="63">
        <v>79</v>
      </c>
      <c r="P192" s="28">
        <v>2.07E-2</v>
      </c>
      <c r="Q192" s="28">
        <v>0.74939999999999996</v>
      </c>
      <c r="R192" s="82">
        <f t="shared" si="148"/>
        <v>1.8784722692187516E-2</v>
      </c>
      <c r="S192" s="82">
        <f t="shared" si="149"/>
        <v>1.9099590723055889E-2</v>
      </c>
      <c r="T192" s="82">
        <f t="shared" si="150"/>
        <v>2.5974025974025976E-2</v>
      </c>
      <c r="U192" s="82">
        <f t="shared" si="151"/>
        <v>0.10059999999999999</v>
      </c>
      <c r="V192" s="84">
        <f t="shared" si="152"/>
        <v>3.5499999999999976E-2</v>
      </c>
    </row>
    <row r="193" spans="1:22" ht="17.25" customHeight="1">
      <c r="A193" s="124">
        <v>10</v>
      </c>
      <c r="B193" s="120" t="s">
        <v>218</v>
      </c>
      <c r="C193" s="121" t="s">
        <v>216</v>
      </c>
      <c r="D193" s="27">
        <v>457595463.13</v>
      </c>
      <c r="E193" s="10">
        <f t="shared" si="141"/>
        <v>4.6997849314318302E-2</v>
      </c>
      <c r="F193" s="21">
        <v>128.99</v>
      </c>
      <c r="G193" s="21">
        <v>130.99</v>
      </c>
      <c r="H193" s="63">
        <v>50</v>
      </c>
      <c r="I193" s="28">
        <v>0</v>
      </c>
      <c r="J193" s="28">
        <v>2.4500000000000001E-2</v>
      </c>
      <c r="K193" s="27">
        <v>454412668.06</v>
      </c>
      <c r="L193" s="10">
        <f t="shared" si="142"/>
        <v>4.6706507523663579E-2</v>
      </c>
      <c r="M193" s="21">
        <v>128.08000000000001</v>
      </c>
      <c r="N193" s="21">
        <v>130.08000000000001</v>
      </c>
      <c r="O193" s="63">
        <v>50</v>
      </c>
      <c r="P193" s="28">
        <v>0</v>
      </c>
      <c r="Q193" s="28">
        <v>2.4500000000000001E-2</v>
      </c>
      <c r="R193" s="82">
        <f t="shared" si="148"/>
        <v>-6.9554777668234457E-3</v>
      </c>
      <c r="S193" s="82">
        <f t="shared" si="149"/>
        <v>-6.9470951981066989E-3</v>
      </c>
      <c r="T193" s="82">
        <f t="shared" si="150"/>
        <v>0</v>
      </c>
      <c r="U193" s="82">
        <f t="shared" si="151"/>
        <v>0</v>
      </c>
      <c r="V193" s="84">
        <f t="shared" si="152"/>
        <v>0</v>
      </c>
    </row>
    <row r="194" spans="1:22">
      <c r="A194" s="124">
        <v>11</v>
      </c>
      <c r="B194" s="120" t="s">
        <v>219</v>
      </c>
      <c r="C194" s="121" t="s">
        <v>216</v>
      </c>
      <c r="D194" s="27">
        <v>3751239239.4899998</v>
      </c>
      <c r="E194" s="10">
        <f t="shared" si="141"/>
        <v>0.38527518457809362</v>
      </c>
      <c r="F194" s="21">
        <v>26.34</v>
      </c>
      <c r="G194" s="21">
        <v>26.54</v>
      </c>
      <c r="H194" s="63">
        <v>204</v>
      </c>
      <c r="I194" s="28">
        <v>0</v>
      </c>
      <c r="J194" s="28">
        <v>0.25269999999999998</v>
      </c>
      <c r="K194" s="27">
        <v>3757491961.5799999</v>
      </c>
      <c r="L194" s="10">
        <f t="shared" si="142"/>
        <v>0.3862113424849965</v>
      </c>
      <c r="M194" s="21">
        <v>26.37</v>
      </c>
      <c r="N194" s="21">
        <v>26.57</v>
      </c>
      <c r="O194" s="63">
        <v>202</v>
      </c>
      <c r="P194" s="28">
        <v>4.99E-2</v>
      </c>
      <c r="Q194" s="28">
        <v>0.31519999999999998</v>
      </c>
      <c r="R194" s="82">
        <f t="shared" si="148"/>
        <v>1.6668417263757996E-3</v>
      </c>
      <c r="S194" s="82">
        <f t="shared" si="149"/>
        <v>1.1303692539563353E-3</v>
      </c>
      <c r="T194" s="82">
        <f t="shared" si="150"/>
        <v>-9.8039215686274508E-3</v>
      </c>
      <c r="U194" s="82">
        <f t="shared" si="151"/>
        <v>4.99E-2</v>
      </c>
      <c r="V194" s="84">
        <f t="shared" si="152"/>
        <v>6.25E-2</v>
      </c>
    </row>
    <row r="195" spans="1:22">
      <c r="A195" s="124">
        <v>12</v>
      </c>
      <c r="B195" s="120" t="s">
        <v>220</v>
      </c>
      <c r="C195" s="121" t="s">
        <v>216</v>
      </c>
      <c r="D195" s="29">
        <v>295399969.16000003</v>
      </c>
      <c r="E195" s="10">
        <f t="shared" si="141"/>
        <v>3.0339381302152104E-2</v>
      </c>
      <c r="F195" s="21">
        <v>28.04</v>
      </c>
      <c r="G195" s="21">
        <v>28.24</v>
      </c>
      <c r="H195" s="63">
        <v>45</v>
      </c>
      <c r="I195" s="28">
        <v>0</v>
      </c>
      <c r="J195" s="28">
        <v>0.17510000000000001</v>
      </c>
      <c r="K195" s="29">
        <v>295356896.75</v>
      </c>
      <c r="L195" s="10">
        <f t="shared" si="142"/>
        <v>3.0358064574023538E-2</v>
      </c>
      <c r="M195" s="21">
        <v>28.05</v>
      </c>
      <c r="N195" s="21">
        <v>28.25</v>
      </c>
      <c r="O195" s="63">
        <v>44</v>
      </c>
      <c r="P195" s="28">
        <v>0</v>
      </c>
      <c r="Q195" s="28">
        <v>0.17510000000000001</v>
      </c>
      <c r="R195" s="82">
        <f t="shared" si="148"/>
        <v>-1.4581047561550877E-4</v>
      </c>
      <c r="S195" s="82">
        <f t="shared" si="149"/>
        <v>3.5410764872526783E-4</v>
      </c>
      <c r="T195" s="82">
        <f t="shared" si="150"/>
        <v>-2.2222222222222223E-2</v>
      </c>
      <c r="U195" s="82">
        <f t="shared" si="151"/>
        <v>0</v>
      </c>
      <c r="V195" s="84">
        <f t="shared" si="152"/>
        <v>0</v>
      </c>
    </row>
    <row r="196" spans="1:22">
      <c r="A196" s="43"/>
      <c r="B196" s="43"/>
      <c r="C196" s="75" t="s">
        <v>221</v>
      </c>
      <c r="D196" s="74">
        <f>SUM(D184:D195)</f>
        <v>9736519219.6271324</v>
      </c>
      <c r="E196" s="24"/>
      <c r="F196" s="24"/>
      <c r="G196" s="22"/>
      <c r="H196" s="74">
        <f>SUM(H184:H195)</f>
        <v>1439</v>
      </c>
      <c r="I196" s="23"/>
      <c r="J196" s="23"/>
      <c r="K196" s="74">
        <f>SUM(K184:K195)</f>
        <v>9729108258.1966648</v>
      </c>
      <c r="L196" s="24"/>
      <c r="M196" s="24"/>
      <c r="N196" s="22"/>
      <c r="O196" s="74">
        <f>SUM(O184:O195)</f>
        <v>1438</v>
      </c>
      <c r="P196" s="23"/>
      <c r="Q196" s="23"/>
      <c r="R196" s="82">
        <f t="shared" si="148"/>
        <v>-7.611510092362776E-4</v>
      </c>
      <c r="S196" s="82" t="e">
        <f t="shared" si="149"/>
        <v>#DIV/0!</v>
      </c>
      <c r="T196" s="82">
        <f t="shared" si="150"/>
        <v>-6.9492703266157052E-4</v>
      </c>
      <c r="U196" s="82">
        <f t="shared" si="151"/>
        <v>0</v>
      </c>
      <c r="V196" s="84">
        <f t="shared" si="152"/>
        <v>0</v>
      </c>
    </row>
    <row r="197" spans="1:22">
      <c r="A197" s="89"/>
      <c r="B197" s="89"/>
      <c r="C197" s="90" t="s">
        <v>222</v>
      </c>
      <c r="D197" s="91">
        <f>SUM(D176,D181,D196)</f>
        <v>2124202931812.0515</v>
      </c>
      <c r="E197" s="92"/>
      <c r="F197" s="92"/>
      <c r="G197" s="93"/>
      <c r="H197" s="91">
        <f>SUM(H176,H181,H196)</f>
        <v>765638</v>
      </c>
      <c r="I197" s="94"/>
      <c r="J197" s="94"/>
      <c r="K197" s="91">
        <f>SUM(K176,K181,K196)</f>
        <v>2128113435916.1782</v>
      </c>
      <c r="L197" s="92"/>
      <c r="M197" s="92"/>
      <c r="N197" s="93"/>
      <c r="O197" s="91">
        <f>SUM(O176,O181,O196)</f>
        <v>766060</v>
      </c>
      <c r="P197" s="95"/>
      <c r="Q197" s="91"/>
      <c r="R197" s="96"/>
      <c r="S197" s="97"/>
      <c r="T197" s="97"/>
      <c r="U197" s="98"/>
      <c r="V197" s="98"/>
    </row>
  </sheetData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:K48 D47:D48" name="Yield_2_1_2_3_1_2"/>
    <protectedRange password="CADF" sqref="K53 D53" name="Yield_2_1_2_4_1_2"/>
    <protectedRange password="CADF" sqref="O53:Q53 H53:J53" name="Yield_1_1_1_1_1_2"/>
    <protectedRange password="CADF" sqref="O47:Q48 H47:J48" name="Yield_1_1_2_1_1_1_1_1_2"/>
    <protectedRange password="CADF" sqref="K79 D79" name="Yield_2_1_2_1_1_2"/>
    <protectedRange password="CADF" sqref="O79:Q79 H79:J79" name="Yield_1_1_2_1_2_1_2"/>
    <protectedRange password="CADF" sqref="M79:N79 F79:G79" name="Fund Name_2_2_1_1_2"/>
    <protectedRange password="CADF" sqref="N77 G77:G78" name="BidOffer Prices_2_1_1_1_1_1_1_1_1_1_2"/>
    <protectedRange password="CADF" sqref="K98:K99 D98:D99" name="Yield_2_1_2_6_3_2"/>
    <protectedRange password="CADF" sqref="K141 K149:K150 D141 D149:D150" name="Fund Name_1_1_1_2_2"/>
    <protectedRange password="CADF" sqref="O141:Q141 O149:Q150 H141:J141 H149:J150" name="Yield_1_1_2_2_2"/>
    <protectedRange password="CADF" sqref="M141:N141 M149:N150 F141:G141 F149:G150" name="Fund Name_1_1_1_1_2_2"/>
  </protectedRanges>
  <mergeCells count="31">
    <mergeCell ref="A90:V90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  <mergeCell ref="A159:V159"/>
    <mergeCell ref="A91:V91"/>
    <mergeCell ref="A92:V92"/>
    <mergeCell ref="A105:V105"/>
    <mergeCell ref="A106:V106"/>
    <mergeCell ref="A117:V117"/>
    <mergeCell ref="A118:V118"/>
    <mergeCell ref="A125:V125"/>
    <mergeCell ref="A126:V126"/>
    <mergeCell ref="A152:V152"/>
    <mergeCell ref="A153:V153"/>
    <mergeCell ref="A158:V158"/>
    <mergeCell ref="A182:V182"/>
    <mergeCell ref="A183:V183"/>
    <mergeCell ref="A160:V160"/>
    <mergeCell ref="A163:V163"/>
    <mergeCell ref="A164:V164"/>
    <mergeCell ref="A177:U177"/>
    <mergeCell ref="A178:V17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N1" sqref="N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4"/>
      <c r="B1" s="104"/>
      <c r="C1" s="104"/>
    </row>
    <row r="2" spans="1:3">
      <c r="A2" s="104"/>
      <c r="B2" s="104"/>
      <c r="C2" s="104"/>
    </row>
    <row r="3" spans="1:3">
      <c r="A3" s="104"/>
      <c r="B3" s="104"/>
      <c r="C3" s="104"/>
    </row>
    <row r="4" spans="1:3" ht="33" customHeight="1">
      <c r="A4" s="112" t="s">
        <v>223</v>
      </c>
      <c r="B4" s="113" t="s">
        <v>252</v>
      </c>
      <c r="C4" s="113" t="s">
        <v>257</v>
      </c>
    </row>
    <row r="5" spans="1:3" ht="19.5" customHeight="1">
      <c r="A5" s="114" t="s">
        <v>15</v>
      </c>
      <c r="B5" s="47">
        <f>22858868495.3665/1000000000</f>
        <v>22.858868495366501</v>
      </c>
      <c r="C5" s="47">
        <f>22917888550.5649/1000000000</f>
        <v>22.9178885505649</v>
      </c>
    </row>
    <row r="6" spans="1:3" ht="16.5">
      <c r="A6" s="115" t="s">
        <v>47</v>
      </c>
      <c r="B6" s="48">
        <f>865822924113.046/1000000000</f>
        <v>865.82292411304604</v>
      </c>
      <c r="C6" s="48">
        <f>869350685967.342/1000000000</f>
        <v>869.35068596734209</v>
      </c>
    </row>
    <row r="7" spans="1:3" ht="16.5">
      <c r="A7" s="115" t="s">
        <v>224</v>
      </c>
      <c r="B7" s="47">
        <f>298317775753.209/1000000000</f>
        <v>298.31777575320899</v>
      </c>
      <c r="C7" s="47">
        <f>292383213255.361/1000000000</f>
        <v>292.383213255361</v>
      </c>
    </row>
    <row r="8" spans="1:3" ht="16.5">
      <c r="A8" s="115" t="s">
        <v>129</v>
      </c>
      <c r="B8" s="48">
        <f>647350483168.597/1000000000</f>
        <v>647.35048316859707</v>
      </c>
      <c r="C8" s="48">
        <f>652996623374.599/1000000000</f>
        <v>652.99662337459904</v>
      </c>
    </row>
    <row r="9" spans="1:3" ht="16.5">
      <c r="A9" s="115" t="s">
        <v>225</v>
      </c>
      <c r="B9" s="47">
        <f>95531336334.99/1000000000</f>
        <v>95.531336334990002</v>
      </c>
      <c r="C9" s="47">
        <f>95820553466.4032/1000000000</f>
        <v>95.820553466403197</v>
      </c>
    </row>
    <row r="10" spans="1:3" ht="16.5">
      <c r="A10" s="115" t="s">
        <v>155</v>
      </c>
      <c r="B10" s="49">
        <f>39960778727.1955/1000000000</f>
        <v>39.960778727195503</v>
      </c>
      <c r="C10" s="49">
        <f>40186047185.1911/1000000000</f>
        <v>40.1860471851911</v>
      </c>
    </row>
    <row r="11" spans="1:3" ht="16.5">
      <c r="A11" s="115" t="s">
        <v>179</v>
      </c>
      <c r="B11" s="47">
        <f>3972600047.89/1000000000</f>
        <v>3.9726000478899999</v>
      </c>
      <c r="C11" s="47">
        <f>4234494815.85/1000000000</f>
        <v>4.2344948158499998</v>
      </c>
    </row>
    <row r="12" spans="1:3" ht="16.5">
      <c r="A12" s="115" t="s">
        <v>226</v>
      </c>
      <c r="B12" s="47">
        <f>46065186177/1000000000</f>
        <v>46.065186177000001</v>
      </c>
      <c r="C12" s="47">
        <f>45908361267.54/1000000000</f>
        <v>45.908361267540002</v>
      </c>
    </row>
    <row r="13" spans="1:3">
      <c r="A13" s="104"/>
      <c r="B13" s="104"/>
      <c r="C13" s="104"/>
    </row>
    <row r="16" spans="1:3" ht="16.5">
      <c r="B16" s="45"/>
      <c r="C16" s="45"/>
    </row>
    <row r="17" spans="1:3" ht="16.5">
      <c r="B17" s="47"/>
      <c r="C17" s="47"/>
    </row>
    <row r="18" spans="1:3" ht="16.5">
      <c r="A18" s="101"/>
      <c r="B18" s="48"/>
      <c r="C18" s="48"/>
    </row>
    <row r="19" spans="1:3" ht="16.5">
      <c r="A19" s="102"/>
      <c r="B19" s="47"/>
      <c r="C19" s="47"/>
    </row>
    <row r="20" spans="1:3" ht="16.5">
      <c r="A20" s="102"/>
      <c r="B20" s="48"/>
      <c r="C20" s="48"/>
    </row>
    <row r="21" spans="1:3" ht="16.5">
      <c r="A21" s="102"/>
      <c r="B21" s="47"/>
      <c r="C21" s="47"/>
    </row>
    <row r="22" spans="1:3" ht="16.5">
      <c r="A22" s="102"/>
      <c r="B22" s="49"/>
      <c r="C22" s="132"/>
    </row>
    <row r="23" spans="1:3" ht="16.5">
      <c r="A23" s="102"/>
      <c r="B23" s="133"/>
      <c r="C23" s="122"/>
    </row>
    <row r="24" spans="1:3" ht="16.5">
      <c r="A24" s="102"/>
      <c r="B24" s="122"/>
      <c r="C24" s="122"/>
    </row>
    <row r="25" spans="1:3" ht="16.5">
      <c r="A25" s="102"/>
      <c r="B25" s="111"/>
      <c r="C25" s="111"/>
    </row>
    <row r="26" spans="1:3" ht="16.5">
      <c r="A26" s="102"/>
      <c r="B26" s="111"/>
      <c r="C26" s="111"/>
    </row>
    <row r="27" spans="1:3">
      <c r="B27" s="106"/>
      <c r="C27" s="106"/>
    </row>
    <row r="28" spans="1:3">
      <c r="B28" s="106"/>
      <c r="C28" s="106"/>
    </row>
  </sheetData>
  <sheetProtection algorithmName="SHA-512" hashValue="shDDC8nnLCsbpdyw9xgxZM0baUMqAd0LJ2AIlys7oHY/HnXEuM0h9Qq5oqd8CthBetGrQXMAiFaNUGSx/kHIlw==" saltValue="q4ZCPvLsSaoYAcJp7xCFF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Q1" sqref="Q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2" t="s">
        <v>223</v>
      </c>
      <c r="B1" s="116">
        <v>45254</v>
      </c>
    </row>
    <row r="2" spans="1:2" ht="16.5">
      <c r="A2" s="115" t="s">
        <v>179</v>
      </c>
      <c r="B2" s="47">
        <v>4234494815.8499999</v>
      </c>
    </row>
    <row r="3" spans="1:2" ht="16.5">
      <c r="A3" s="115" t="s">
        <v>15</v>
      </c>
      <c r="B3" s="47">
        <v>22917888550.564899</v>
      </c>
    </row>
    <row r="4" spans="1:2" ht="16.5">
      <c r="A4" s="115" t="s">
        <v>155</v>
      </c>
      <c r="B4" s="49">
        <v>40186047185.191147</v>
      </c>
    </row>
    <row r="5" spans="1:2" ht="16.5">
      <c r="A5" s="115" t="s">
        <v>226</v>
      </c>
      <c r="B5" s="47">
        <v>45908361267.540009</v>
      </c>
    </row>
    <row r="6" spans="1:2" ht="16.5">
      <c r="A6" s="115" t="s">
        <v>225</v>
      </c>
      <c r="B6" s="47">
        <v>95820553466.403229</v>
      </c>
    </row>
    <row r="7" spans="1:2" ht="16.5">
      <c r="A7" s="115" t="s">
        <v>224</v>
      </c>
      <c r="B7" s="47">
        <v>292383213255.36121</v>
      </c>
    </row>
    <row r="8" spans="1:2" ht="16.5">
      <c r="A8" s="115" t="s">
        <v>129</v>
      </c>
      <c r="B8" s="48">
        <v>652996623374.59875</v>
      </c>
    </row>
    <row r="9" spans="1:2" ht="16.5">
      <c r="A9" s="115" t="s">
        <v>47</v>
      </c>
      <c r="B9" s="48">
        <v>869350685967.34192</v>
      </c>
    </row>
    <row r="14" spans="1:2" ht="16.5">
      <c r="A14" s="103"/>
      <c r="B14" s="47"/>
    </row>
    <row r="15" spans="1:2" ht="16.5">
      <c r="A15" s="103"/>
      <c r="B15" s="47"/>
    </row>
    <row r="16" spans="1:2" ht="16.5">
      <c r="A16" s="103"/>
      <c r="B16" s="49"/>
    </row>
    <row r="17" spans="1:17" ht="16.5">
      <c r="A17" s="103"/>
      <c r="B17" s="47"/>
    </row>
    <row r="18" spans="1:17" ht="16.5">
      <c r="A18" s="103"/>
      <c r="B18" s="47"/>
    </row>
    <row r="19" spans="1:17" ht="16.5">
      <c r="A19" s="103"/>
      <c r="B19" s="47"/>
    </row>
    <row r="20" spans="1:17" ht="16.5">
      <c r="A20" s="103"/>
      <c r="B20" s="48"/>
    </row>
    <row r="21" spans="1:17" ht="16.5">
      <c r="A21" s="103"/>
      <c r="B21" s="48"/>
    </row>
    <row r="22" spans="1:17" ht="16.5">
      <c r="A22" s="99"/>
      <c r="B22" s="48"/>
    </row>
    <row r="32" spans="1:17" ht="16.5" customHeight="1">
      <c r="A32" s="148" t="s">
        <v>258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34"/>
    </row>
    <row r="33" spans="1:17" ht="15" customHeight="1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34"/>
    </row>
  </sheetData>
  <sheetProtection algorithmName="SHA-512" hashValue="SdpfLEVkP6r11aDx9iUV1fAWPmbm25vBeHJ1uhwdD6UjlL3n5HNEI+f+VhkPcNmw/Q5vRN0rFrCJYmG/Bfoy6w==" saltValue="EcEtz+g3Nz85t/fnicK3xw==" spinCount="100000" sheet="1" objects="1" scenarios="1"/>
  <sortState ref="B14:B21">
    <sortCondition ref="B14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0" zoomScaleNormal="110" workbookViewId="0">
      <selection activeCell="I3" sqref="I3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3.42578125" customWidth="1"/>
    <col min="6" max="6" width="13.85546875" customWidth="1"/>
    <col min="7" max="7" width="14.85546875" customWidth="1"/>
    <col min="8" max="9" width="13.140625" customWidth="1"/>
  </cols>
  <sheetData>
    <row r="1" spans="1:1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17" t="s">
        <v>234</v>
      </c>
      <c r="B2" s="118">
        <v>45205</v>
      </c>
      <c r="C2" s="118">
        <v>45212</v>
      </c>
      <c r="D2" s="118">
        <v>45219</v>
      </c>
      <c r="E2" s="118">
        <v>45226</v>
      </c>
      <c r="F2" s="118">
        <v>45233</v>
      </c>
      <c r="G2" s="118">
        <v>45240</v>
      </c>
      <c r="H2" s="118">
        <v>45247</v>
      </c>
      <c r="I2" s="118">
        <v>45254</v>
      </c>
      <c r="J2" s="106"/>
      <c r="K2" s="106"/>
    </row>
    <row r="3" spans="1:11">
      <c r="A3" s="117" t="s">
        <v>235</v>
      </c>
      <c r="B3" s="119">
        <v>1935067759050.2058</v>
      </c>
      <c r="C3" s="119">
        <v>1961229345082.9329</v>
      </c>
      <c r="D3" s="119">
        <v>2002190167303.2449</v>
      </c>
      <c r="E3" s="119">
        <v>1992052361749.9485</v>
      </c>
      <c r="F3" s="119">
        <v>1995029350611.7961</v>
      </c>
      <c r="G3" s="119">
        <v>2004454649356.7783</v>
      </c>
      <c r="H3" s="119">
        <v>2019879952817.2942</v>
      </c>
      <c r="I3" s="119">
        <v>2023797867882.8513</v>
      </c>
      <c r="J3" s="106"/>
      <c r="K3" s="106"/>
    </row>
    <row r="4" spans="1:11">
      <c r="A4" s="99"/>
      <c r="B4" s="99"/>
      <c r="C4" s="99"/>
      <c r="D4" s="99"/>
      <c r="E4" s="99"/>
      <c r="F4" s="99"/>
      <c r="G4" s="99"/>
      <c r="H4" s="99"/>
      <c r="I4" s="99"/>
    </row>
    <row r="5" spans="1:11">
      <c r="A5" s="99"/>
      <c r="B5" s="99"/>
      <c r="C5" s="99"/>
      <c r="D5" s="99"/>
      <c r="E5" s="99"/>
      <c r="F5" s="99"/>
      <c r="G5" s="99"/>
      <c r="H5" s="99"/>
      <c r="I5" s="99"/>
    </row>
    <row r="6" spans="1:11">
      <c r="A6" s="99"/>
      <c r="B6" s="99"/>
      <c r="C6" s="99"/>
      <c r="D6" s="99"/>
      <c r="E6" s="99"/>
      <c r="F6" s="99"/>
      <c r="G6" s="99"/>
      <c r="H6" s="99"/>
      <c r="I6" s="99"/>
    </row>
    <row r="7" spans="1:11">
      <c r="A7" s="99"/>
      <c r="B7" s="99"/>
      <c r="C7" s="99"/>
      <c r="D7" s="99"/>
      <c r="E7" s="99"/>
      <c r="F7" s="99"/>
      <c r="G7" s="99"/>
      <c r="H7" s="99"/>
      <c r="I7" s="99"/>
    </row>
    <row r="8" spans="1:11">
      <c r="A8" s="99"/>
      <c r="B8" s="99"/>
      <c r="C8" s="99"/>
      <c r="D8" s="99"/>
      <c r="E8" s="99"/>
      <c r="F8" s="99"/>
      <c r="G8" s="99"/>
      <c r="H8" s="99"/>
      <c r="I8" s="99"/>
    </row>
    <row r="9" spans="1:11">
      <c r="A9" s="99"/>
      <c r="B9" s="99"/>
      <c r="C9" s="99"/>
      <c r="D9" s="99"/>
      <c r="E9" s="99"/>
      <c r="F9" s="99"/>
      <c r="G9" s="99"/>
      <c r="H9" s="99"/>
      <c r="I9" s="99"/>
    </row>
    <row r="10" spans="1:11">
      <c r="A10" s="99"/>
      <c r="B10" s="99"/>
      <c r="C10" s="99"/>
      <c r="D10" s="99"/>
      <c r="E10" s="99"/>
      <c r="F10" s="99"/>
      <c r="G10" s="99"/>
      <c r="H10" s="99"/>
      <c r="I10" s="99"/>
    </row>
    <row r="11" spans="1:11">
      <c r="A11" s="99"/>
      <c r="B11" s="99"/>
      <c r="C11" s="99"/>
      <c r="D11" s="99"/>
      <c r="E11" s="99"/>
      <c r="F11" s="99"/>
      <c r="G11" s="99"/>
      <c r="H11" s="99"/>
      <c r="I11" s="99"/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</row>
    <row r="15" spans="1:11">
      <c r="A15" s="99"/>
      <c r="B15" s="99"/>
      <c r="C15" s="99"/>
      <c r="D15" s="99"/>
      <c r="E15" s="99"/>
      <c r="F15" s="99"/>
      <c r="G15" s="99"/>
      <c r="H15" s="99"/>
      <c r="I15" s="99"/>
    </row>
    <row r="16" spans="1:11">
      <c r="A16" s="99"/>
      <c r="B16" s="99"/>
      <c r="C16" s="99"/>
      <c r="D16" s="99"/>
      <c r="E16" s="99"/>
      <c r="F16" s="99"/>
      <c r="G16" s="99"/>
      <c r="H16" s="99"/>
      <c r="I16" s="99"/>
    </row>
    <row r="17" spans="1:9">
      <c r="A17" s="99"/>
      <c r="B17" s="99"/>
      <c r="C17" s="99"/>
      <c r="D17" s="99"/>
      <c r="E17" s="99"/>
      <c r="F17" s="99"/>
      <c r="G17" s="99"/>
      <c r="H17" s="99"/>
      <c r="I17" s="99"/>
    </row>
    <row r="18" spans="1:9">
      <c r="A18" s="99"/>
      <c r="B18" s="99"/>
      <c r="C18" s="99"/>
      <c r="D18" s="99"/>
      <c r="E18" s="99"/>
      <c r="F18" s="99"/>
      <c r="G18" s="99"/>
      <c r="H18" s="99"/>
      <c r="I18" s="99"/>
    </row>
    <row r="19" spans="1:9">
      <c r="A19" s="99"/>
      <c r="B19" s="99"/>
      <c r="C19" s="99"/>
      <c r="D19" s="99"/>
      <c r="E19" s="99"/>
      <c r="F19" s="99"/>
      <c r="G19" s="99"/>
      <c r="H19" s="99"/>
      <c r="I19" s="99"/>
    </row>
    <row r="20" spans="1:9">
      <c r="A20" s="99"/>
      <c r="B20" s="99"/>
      <c r="C20" s="99"/>
      <c r="D20" s="99"/>
      <c r="E20" s="99"/>
      <c r="F20" s="99"/>
      <c r="G20" s="99"/>
      <c r="H20" s="99"/>
      <c r="I20" s="99"/>
    </row>
    <row r="21" spans="1:9">
      <c r="A21" s="99"/>
      <c r="B21" s="99"/>
      <c r="C21" s="99"/>
      <c r="D21" s="99"/>
      <c r="E21" s="99"/>
      <c r="F21" s="99"/>
      <c r="G21" s="99"/>
      <c r="H21" s="99"/>
      <c r="I21" s="99"/>
    </row>
    <row r="22" spans="1:9">
      <c r="A22" s="99"/>
      <c r="B22" s="99"/>
      <c r="C22" s="99"/>
      <c r="D22" s="99"/>
      <c r="E22" s="99"/>
      <c r="F22" s="99"/>
      <c r="G22" s="99"/>
      <c r="H22" s="99"/>
      <c r="I22" s="99"/>
    </row>
    <row r="23" spans="1:9">
      <c r="A23" s="99"/>
      <c r="B23" s="99"/>
      <c r="C23" s="99"/>
      <c r="D23" s="99"/>
      <c r="E23" s="99"/>
      <c r="F23" s="99"/>
      <c r="G23" s="99"/>
      <c r="H23" s="99"/>
      <c r="I23" s="99"/>
    </row>
    <row r="24" spans="1:9">
      <c r="A24" s="99"/>
      <c r="B24" s="99"/>
      <c r="C24" s="99"/>
      <c r="D24" s="99"/>
      <c r="E24" s="99"/>
      <c r="F24" s="99"/>
      <c r="G24" s="99"/>
      <c r="H24" s="99"/>
      <c r="I24" s="99"/>
    </row>
    <row r="25" spans="1:9">
      <c r="A25" s="99"/>
      <c r="B25" s="99"/>
      <c r="C25" s="99"/>
      <c r="D25" s="99"/>
      <c r="E25" s="99"/>
      <c r="F25" s="99"/>
      <c r="G25" s="99"/>
      <c r="H25" s="99"/>
      <c r="I25" s="99"/>
    </row>
    <row r="26" spans="1:9">
      <c r="A26" s="99"/>
      <c r="B26" s="99"/>
      <c r="C26" s="99"/>
      <c r="D26" s="99"/>
      <c r="E26" s="99"/>
      <c r="F26" s="99"/>
      <c r="G26" s="99"/>
      <c r="H26" s="99"/>
      <c r="I26" s="99"/>
    </row>
    <row r="27" spans="1:9">
      <c r="A27" s="99"/>
      <c r="B27" s="99"/>
      <c r="C27" s="99"/>
      <c r="D27" s="99"/>
      <c r="E27" s="99"/>
      <c r="F27" s="99"/>
      <c r="G27" s="99"/>
      <c r="H27" s="99"/>
      <c r="I27" s="99"/>
    </row>
    <row r="28" spans="1:9">
      <c r="A28" s="99"/>
      <c r="B28" s="99"/>
      <c r="C28" s="99"/>
      <c r="D28" s="99"/>
      <c r="E28" s="99"/>
      <c r="F28" s="99"/>
      <c r="G28" s="99"/>
      <c r="H28" s="99"/>
      <c r="I28" s="99"/>
    </row>
    <row r="29" spans="1:9">
      <c r="A29" s="99"/>
      <c r="B29" s="99"/>
      <c r="C29" s="99"/>
      <c r="D29" s="99"/>
      <c r="E29" s="99"/>
      <c r="F29" s="99"/>
      <c r="G29" s="99"/>
      <c r="H29" s="99"/>
      <c r="I29" s="99"/>
    </row>
  </sheetData>
  <sheetProtection algorithmName="SHA-512" hashValue="SGY4N2xFkDrUJXJI8g0Ic2dlaG7EmbV7czOpsOwDuHtRwDmh/t4yJK345IFz9A2ZXMl1TVs+T+xfwKJSOhFAXg==" saltValue="AvLJQQj6ijxTl/RORSumW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5703125" bestFit="1" customWidth="1"/>
  </cols>
  <sheetData>
    <row r="1" spans="1:10" ht="16.5">
      <c r="A1" s="44" t="s">
        <v>223</v>
      </c>
      <c r="B1" s="45">
        <v>45198</v>
      </c>
      <c r="C1" s="45">
        <v>45205</v>
      </c>
      <c r="D1" s="45">
        <v>45212</v>
      </c>
      <c r="E1" s="45">
        <v>45219</v>
      </c>
      <c r="F1" s="45">
        <v>45226</v>
      </c>
      <c r="G1" s="45">
        <v>45233</v>
      </c>
      <c r="H1" s="45">
        <v>45240</v>
      </c>
      <c r="I1" s="45">
        <v>45247</v>
      </c>
      <c r="J1" s="45">
        <v>45254</v>
      </c>
    </row>
    <row r="2" spans="1:10" ht="16.5">
      <c r="A2" s="46" t="s">
        <v>15</v>
      </c>
      <c r="B2" s="47">
        <v>22347298706.340004</v>
      </c>
      <c r="C2" s="47">
        <v>22419529839.446701</v>
      </c>
      <c r="D2" s="47">
        <v>22452818441.667297</v>
      </c>
      <c r="E2" s="47">
        <v>22321023691.510902</v>
      </c>
      <c r="F2" s="47">
        <v>22297088298.263195</v>
      </c>
      <c r="G2" s="47">
        <v>22627915820.731602</v>
      </c>
      <c r="H2" s="47">
        <v>22794496005.583801</v>
      </c>
      <c r="I2" s="47">
        <v>22858868495.366501</v>
      </c>
      <c r="J2" s="47">
        <v>22917888550.564899</v>
      </c>
    </row>
    <row r="3" spans="1:10" ht="16.5">
      <c r="A3" s="46" t="s">
        <v>47</v>
      </c>
      <c r="B3" s="48">
        <v>852624898169.64954</v>
      </c>
      <c r="C3" s="48">
        <v>857851239009.95007</v>
      </c>
      <c r="D3" s="48">
        <v>866430357744.91357</v>
      </c>
      <c r="E3" s="48">
        <v>868733209665.15002</v>
      </c>
      <c r="F3" s="48">
        <v>866720174597.19238</v>
      </c>
      <c r="G3" s="48">
        <v>868763948236.72998</v>
      </c>
      <c r="H3" s="48">
        <v>861362592384.79565</v>
      </c>
      <c r="I3" s="48">
        <v>865822924113.04614</v>
      </c>
      <c r="J3" s="48">
        <v>869350685967.34192</v>
      </c>
    </row>
    <row r="4" spans="1:10" ht="16.5">
      <c r="A4" s="46" t="s">
        <v>224</v>
      </c>
      <c r="B4" s="47">
        <v>300146733726.06244</v>
      </c>
      <c r="C4" s="47">
        <v>298612163023.86542</v>
      </c>
      <c r="D4" s="47">
        <v>296194339533.25995</v>
      </c>
      <c r="E4" s="47">
        <v>297314764640.83484</v>
      </c>
      <c r="F4" s="47">
        <v>296829521368.71655</v>
      </c>
      <c r="G4" s="47">
        <v>296477977964.1463</v>
      </c>
      <c r="H4" s="47">
        <v>299518508797.995</v>
      </c>
      <c r="I4" s="47">
        <v>298317775753.20929</v>
      </c>
      <c r="J4" s="47">
        <v>292383213255.36121</v>
      </c>
    </row>
    <row r="5" spans="1:10" ht="16.5">
      <c r="A5" s="46" t="s">
        <v>129</v>
      </c>
      <c r="B5" s="48">
        <v>580580020013.89868</v>
      </c>
      <c r="C5" s="48">
        <v>574272210688.57068</v>
      </c>
      <c r="D5" s="48">
        <v>594856395707.72656</v>
      </c>
      <c r="E5" s="48">
        <v>631778541802.7771</v>
      </c>
      <c r="F5" s="48">
        <v>623939339182.42139</v>
      </c>
      <c r="G5" s="48">
        <v>624424131579.08496</v>
      </c>
      <c r="H5" s="48">
        <v>638339381199.3125</v>
      </c>
      <c r="I5" s="48">
        <v>647350483168.5968</v>
      </c>
      <c r="J5" s="48">
        <v>652996623374.59875</v>
      </c>
    </row>
    <row r="6" spans="1:10" ht="16.5">
      <c r="A6" s="46" t="s">
        <v>225</v>
      </c>
      <c r="B6" s="47">
        <v>92953013524.979996</v>
      </c>
      <c r="C6" s="47">
        <v>93025791056.550003</v>
      </c>
      <c r="D6" s="47">
        <v>93063670940.059998</v>
      </c>
      <c r="E6" s="47">
        <v>93071505879.830002</v>
      </c>
      <c r="F6" s="47">
        <v>93122068013.900009</v>
      </c>
      <c r="G6" s="47">
        <v>93195143675.199997</v>
      </c>
      <c r="H6" s="47">
        <v>93197010128.300003</v>
      </c>
      <c r="I6" s="47">
        <v>95531336334.98999</v>
      </c>
      <c r="J6" s="47">
        <v>95820553466.403229</v>
      </c>
    </row>
    <row r="7" spans="1:10" ht="16.5">
      <c r="A7" s="46" t="s">
        <v>155</v>
      </c>
      <c r="B7" s="49">
        <v>39835802330.054489</v>
      </c>
      <c r="C7" s="49">
        <v>39656232639.742752</v>
      </c>
      <c r="D7" s="49">
        <v>39055524237.135551</v>
      </c>
      <c r="E7" s="49">
        <v>39125729977.492111</v>
      </c>
      <c r="F7" s="49">
        <v>39115203974.124908</v>
      </c>
      <c r="G7" s="49">
        <v>39279784642.423355</v>
      </c>
      <c r="H7" s="49">
        <v>39710985001.751167</v>
      </c>
      <c r="I7" s="49">
        <v>39960778727.195503</v>
      </c>
      <c r="J7" s="49">
        <v>40186047185.191147</v>
      </c>
    </row>
    <row r="8" spans="1:10" ht="16.5">
      <c r="A8" s="46" t="s">
        <v>179</v>
      </c>
      <c r="B8" s="47">
        <v>3871825099.96</v>
      </c>
      <c r="C8" s="47">
        <v>3871834604.0900002</v>
      </c>
      <c r="D8" s="47">
        <v>3847653774.98</v>
      </c>
      <c r="E8" s="47">
        <v>3851756766.6799998</v>
      </c>
      <c r="F8" s="47">
        <v>3850205746.29</v>
      </c>
      <c r="G8" s="47">
        <v>3928183119.75</v>
      </c>
      <c r="H8" s="47">
        <v>3954911247.46</v>
      </c>
      <c r="I8" s="47">
        <v>3972600047.8899999</v>
      </c>
      <c r="J8" s="47">
        <v>4234494815.8499999</v>
      </c>
    </row>
    <row r="9" spans="1:10" ht="16.5">
      <c r="A9" s="46" t="s">
        <v>226</v>
      </c>
      <c r="B9" s="47">
        <v>45697413516.340004</v>
      </c>
      <c r="C9" s="47">
        <v>45358758187.989998</v>
      </c>
      <c r="D9" s="47">
        <v>45328584703.190002</v>
      </c>
      <c r="E9" s="47">
        <v>45993634878.969994</v>
      </c>
      <c r="F9" s="47">
        <v>46178760569.040001</v>
      </c>
      <c r="G9" s="47">
        <v>46332265573.729996</v>
      </c>
      <c r="H9" s="47">
        <v>45576764591.580002</v>
      </c>
      <c r="I9" s="47">
        <v>46065186177</v>
      </c>
      <c r="J9" s="47">
        <v>45908361267.540009</v>
      </c>
    </row>
    <row r="10" spans="1:10" ht="15.75">
      <c r="A10" s="50" t="s">
        <v>227</v>
      </c>
      <c r="B10" s="51">
        <f t="shared" ref="B10:G10" si="0">SUM(B2:B9)</f>
        <v>1938057005087.2852</v>
      </c>
      <c r="C10" s="51">
        <f t="shared" si="0"/>
        <v>1935067759050.2058</v>
      </c>
      <c r="D10" s="51">
        <f t="shared" si="0"/>
        <v>1961229345082.9329</v>
      </c>
      <c r="E10" s="51">
        <f t="shared" si="0"/>
        <v>2002190167303.2449</v>
      </c>
      <c r="F10" s="51">
        <f t="shared" si="0"/>
        <v>1992052361749.9485</v>
      </c>
      <c r="G10" s="51">
        <f t="shared" si="0"/>
        <v>1995029350611.7961</v>
      </c>
      <c r="H10" s="51">
        <f>SUM(H2:H9)</f>
        <v>2004454649356.7783</v>
      </c>
      <c r="I10" s="51">
        <f>SUM(I2:I9)</f>
        <v>2019879952817.2942</v>
      </c>
      <c r="J10" s="51">
        <f>SUM(J2:J9)</f>
        <v>2023797867882.8513</v>
      </c>
    </row>
    <row r="11" spans="1:10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>
      <c r="A12" s="54" t="s">
        <v>228</v>
      </c>
      <c r="B12" s="55" t="s">
        <v>229</v>
      </c>
      <c r="C12" s="56">
        <f>(B10+C10)/2</f>
        <v>1936562382068.7456</v>
      </c>
      <c r="D12" s="57">
        <f t="shared" ref="D12:J12" si="1">(C10+D10)/2</f>
        <v>1948148552066.5693</v>
      </c>
      <c r="E12" s="57">
        <f t="shared" si="1"/>
        <v>1981709756193.0889</v>
      </c>
      <c r="F12" s="57">
        <f t="shared" si="1"/>
        <v>1997121264526.5967</v>
      </c>
      <c r="G12" s="57">
        <f>(F10+G10)/2</f>
        <v>1993540856180.8723</v>
      </c>
      <c r="H12" s="57">
        <f t="shared" si="1"/>
        <v>1999741999984.2871</v>
      </c>
      <c r="I12" s="57">
        <f t="shared" si="1"/>
        <v>2012167301087.0361</v>
      </c>
      <c r="J12" s="57">
        <f t="shared" si="1"/>
        <v>2021838910350.0728</v>
      </c>
    </row>
    <row r="15" spans="1:10" ht="16.5">
      <c r="A15" s="44" t="s">
        <v>223</v>
      </c>
      <c r="B15" s="45">
        <v>45247</v>
      </c>
      <c r="C15" s="45">
        <v>45254</v>
      </c>
    </row>
    <row r="16" spans="1:10" ht="16.5">
      <c r="A16" s="46" t="s">
        <v>15</v>
      </c>
      <c r="B16" s="47">
        <v>22858868495.366501</v>
      </c>
      <c r="C16" s="47">
        <v>22917888550.564899</v>
      </c>
    </row>
    <row r="17" spans="1:12" ht="16.5">
      <c r="A17" s="46" t="s">
        <v>47</v>
      </c>
      <c r="B17" s="48">
        <v>865822924113.04614</v>
      </c>
      <c r="C17" s="48">
        <v>869350685967.34192</v>
      </c>
    </row>
    <row r="18" spans="1:12" ht="16.5">
      <c r="A18" s="46" t="s">
        <v>224</v>
      </c>
      <c r="B18" s="47">
        <v>298317775753.20929</v>
      </c>
      <c r="C18" s="47">
        <v>292383213255.36121</v>
      </c>
    </row>
    <row r="19" spans="1:12" ht="16.5">
      <c r="A19" s="46" t="s">
        <v>129</v>
      </c>
      <c r="B19" s="48">
        <v>647350483168.5968</v>
      </c>
      <c r="C19" s="48">
        <v>652996623374.59875</v>
      </c>
    </row>
    <row r="20" spans="1:12" ht="16.5">
      <c r="A20" s="46" t="s">
        <v>225</v>
      </c>
      <c r="B20" s="47">
        <v>95531336334.98999</v>
      </c>
      <c r="C20" s="47">
        <v>95820553466.403229</v>
      </c>
      <c r="E20" s="119"/>
      <c r="F20" s="119"/>
      <c r="G20" s="119"/>
      <c r="H20" s="119"/>
      <c r="I20" s="119"/>
      <c r="J20" s="119"/>
      <c r="K20" s="119"/>
      <c r="L20" s="119">
        <v>2019879952817.2942</v>
      </c>
    </row>
    <row r="21" spans="1:12" ht="16.5">
      <c r="A21" s="46" t="s">
        <v>155</v>
      </c>
      <c r="B21" s="49">
        <v>39960778727.195503</v>
      </c>
      <c r="C21" s="49">
        <v>40186047185.191147</v>
      </c>
    </row>
    <row r="22" spans="1:12" ht="16.5">
      <c r="A22" s="46" t="s">
        <v>179</v>
      </c>
      <c r="B22" s="47">
        <v>3972600047.8899999</v>
      </c>
      <c r="C22" s="47">
        <v>4234494815.8499999</v>
      </c>
    </row>
    <row r="23" spans="1:12" ht="16.5">
      <c r="A23" s="46" t="s">
        <v>226</v>
      </c>
      <c r="B23" s="47">
        <v>46065186177</v>
      </c>
      <c r="C23" s="47">
        <v>45908361267.540009</v>
      </c>
    </row>
    <row r="26" spans="1:12">
      <c r="C26" s="119"/>
      <c r="D26" s="119"/>
      <c r="E26" s="119"/>
      <c r="F26" s="119"/>
      <c r="G26" s="119"/>
      <c r="H26" s="119"/>
      <c r="I26" s="119"/>
      <c r="J26" s="119"/>
    </row>
    <row r="28" spans="1:12">
      <c r="C28" s="71"/>
      <c r="D28" s="71"/>
      <c r="E28" s="71"/>
      <c r="F28" s="71"/>
      <c r="G28" s="71"/>
      <c r="H28" s="71"/>
      <c r="I28" s="71"/>
      <c r="J28" s="71"/>
    </row>
  </sheetData>
  <sheetProtection algorithmName="SHA-512" hashValue="90V0mzPJ42n6v/7T2E4APT6Y5Eaj56VEYgVRwLINm/oOBVJ9oC4CouxNmTI2GgSMITNbWCgBzbLZeFh9hqHEcQ==" saltValue="OnJC1cGO4KMdmVsnbN+Ew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2023-12-07T10:04:41Z</dcterms:modified>
</cp:coreProperties>
</file>