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00" i="1" l="1"/>
  <c r="M100" i="1"/>
  <c r="K100" i="1"/>
  <c r="T32" i="1" l="1"/>
  <c r="N111" i="1"/>
  <c r="M111" i="1"/>
  <c r="N96" i="1" l="1"/>
  <c r="M96" i="1"/>
  <c r="K96" i="1"/>
  <c r="N94" i="1" l="1"/>
  <c r="M94" i="1"/>
  <c r="K94" i="1"/>
  <c r="S21" i="1"/>
  <c r="T21" i="1"/>
  <c r="N103" i="1" l="1"/>
  <c r="M103" i="1"/>
  <c r="K103" i="1"/>
  <c r="N108" i="1" l="1"/>
  <c r="M108" i="1"/>
  <c r="K108" i="1"/>
  <c r="N112" i="1" l="1"/>
  <c r="M112" i="1"/>
  <c r="N95" i="1" l="1"/>
  <c r="M95" i="1"/>
  <c r="K95" i="1"/>
  <c r="N115" i="1" l="1"/>
  <c r="M115" i="1" l="1"/>
  <c r="N101" i="1" l="1"/>
  <c r="M101" i="1"/>
  <c r="K101" i="1"/>
  <c r="N93" i="1"/>
  <c r="M93" i="1"/>
  <c r="N102" i="1"/>
  <c r="M102" i="1"/>
  <c r="K102" i="1"/>
  <c r="V95" i="1"/>
  <c r="R95" i="1"/>
  <c r="S95" i="1"/>
  <c r="T95" i="1"/>
  <c r="U95" i="1"/>
  <c r="G115" i="1" l="1"/>
  <c r="F115" i="1"/>
  <c r="G112" i="1"/>
  <c r="F112" i="1"/>
  <c r="G111" i="1"/>
  <c r="F111" i="1"/>
  <c r="G108" i="1"/>
  <c r="F108" i="1"/>
  <c r="D108" i="1"/>
  <c r="G103" i="1"/>
  <c r="F103" i="1"/>
  <c r="G102" i="1"/>
  <c r="F102" i="1"/>
  <c r="G101" i="1"/>
  <c r="F101" i="1"/>
  <c r="G100" i="1"/>
  <c r="F100" i="1"/>
  <c r="G96" i="1"/>
  <c r="F96" i="1"/>
  <c r="G95" i="1"/>
  <c r="F95" i="1"/>
  <c r="G94" i="1"/>
  <c r="F94" i="1"/>
  <c r="G93" i="1"/>
  <c r="F93" i="1"/>
  <c r="D103" i="1"/>
  <c r="D102" i="1"/>
  <c r="D101" i="1"/>
  <c r="D100" i="1"/>
  <c r="D96" i="1"/>
  <c r="D95" i="1"/>
  <c r="D94" i="1"/>
  <c r="R12" i="1" l="1"/>
  <c r="R48" i="1" l="1"/>
  <c r="V48" i="1"/>
  <c r="U48" i="1"/>
  <c r="T48" i="1"/>
  <c r="S48" i="1"/>
  <c r="V96" i="1" l="1"/>
  <c r="U96" i="1"/>
  <c r="T96" i="1"/>
  <c r="S96" i="1"/>
  <c r="R96" i="1"/>
  <c r="V120" i="1" l="1"/>
  <c r="U120" i="1"/>
  <c r="T120" i="1"/>
  <c r="S120" i="1"/>
  <c r="R120" i="1"/>
  <c r="I10" i="4" l="1"/>
  <c r="H10" i="4"/>
  <c r="G10" i="4"/>
  <c r="F10" i="4"/>
  <c r="E10" i="4"/>
  <c r="D10" i="4"/>
  <c r="C10" i="4"/>
  <c r="B10" i="4"/>
  <c r="R70" i="1"/>
  <c r="V173" i="1" l="1"/>
  <c r="U173" i="1"/>
  <c r="T173" i="1"/>
  <c r="S173" i="1"/>
  <c r="R173" i="1"/>
  <c r="S162" i="1" l="1"/>
  <c r="D157" i="1" l="1"/>
  <c r="D116" i="1"/>
  <c r="E96" i="1" s="1"/>
  <c r="R86" i="1" l="1"/>
  <c r="S86" i="1"/>
  <c r="T86" i="1"/>
  <c r="U86" i="1"/>
  <c r="V86" i="1"/>
  <c r="D196" i="1"/>
  <c r="D175" i="1"/>
  <c r="E173" i="1" s="1"/>
  <c r="D124" i="1"/>
  <c r="E120" i="1" s="1"/>
  <c r="D55" i="1"/>
  <c r="R155" i="1" l="1"/>
  <c r="R78" i="1" l="1"/>
  <c r="S78" i="1"/>
  <c r="T78" i="1"/>
  <c r="V78" i="1"/>
  <c r="U78" i="1"/>
  <c r="D22" i="1" l="1"/>
  <c r="R109" i="1" l="1"/>
  <c r="R19" i="1" l="1"/>
  <c r="R185" i="1" l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S196" i="1"/>
  <c r="U196" i="1"/>
  <c r="V196" i="1"/>
  <c r="V184" i="1"/>
  <c r="U184" i="1"/>
  <c r="T184" i="1"/>
  <c r="S184" i="1"/>
  <c r="R184" i="1"/>
  <c r="V180" i="1"/>
  <c r="U180" i="1"/>
  <c r="T180" i="1"/>
  <c r="S180" i="1"/>
  <c r="R180" i="1"/>
  <c r="V179" i="1"/>
  <c r="U179" i="1"/>
  <c r="T179" i="1"/>
  <c r="S179" i="1"/>
  <c r="R179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R172" i="1"/>
  <c r="S172" i="1"/>
  <c r="T172" i="1"/>
  <c r="U172" i="1"/>
  <c r="V172" i="1"/>
  <c r="R174" i="1"/>
  <c r="S174" i="1"/>
  <c r="T174" i="1"/>
  <c r="U174" i="1"/>
  <c r="V174" i="1"/>
  <c r="S175" i="1"/>
  <c r="U175" i="1"/>
  <c r="V175" i="1"/>
  <c r="V165" i="1"/>
  <c r="U165" i="1"/>
  <c r="T165" i="1"/>
  <c r="S165" i="1"/>
  <c r="R165" i="1"/>
  <c r="V162" i="1"/>
  <c r="U162" i="1"/>
  <c r="T162" i="1"/>
  <c r="R162" i="1"/>
  <c r="V161" i="1"/>
  <c r="U161" i="1"/>
  <c r="T161" i="1"/>
  <c r="S161" i="1"/>
  <c r="R161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54" i="1"/>
  <c r="U154" i="1"/>
  <c r="T154" i="1"/>
  <c r="S154" i="1"/>
  <c r="R15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S151" i="1"/>
  <c r="U151" i="1"/>
  <c r="V151" i="1"/>
  <c r="V127" i="1"/>
  <c r="U127" i="1"/>
  <c r="T127" i="1"/>
  <c r="S127" i="1"/>
  <c r="R127" i="1"/>
  <c r="R121" i="1"/>
  <c r="S121" i="1"/>
  <c r="T121" i="1"/>
  <c r="U121" i="1"/>
  <c r="V121" i="1"/>
  <c r="R122" i="1"/>
  <c r="S122" i="1"/>
  <c r="T122" i="1"/>
  <c r="U122" i="1"/>
  <c r="V122" i="1"/>
  <c r="R123" i="1"/>
  <c r="S123" i="1"/>
  <c r="T123" i="1"/>
  <c r="U123" i="1"/>
  <c r="V123" i="1"/>
  <c r="S124" i="1"/>
  <c r="U124" i="1"/>
  <c r="V124" i="1"/>
  <c r="V119" i="1"/>
  <c r="U119" i="1"/>
  <c r="T119" i="1"/>
  <c r="S119" i="1"/>
  <c r="R119" i="1"/>
  <c r="R108" i="1"/>
  <c r="S108" i="1"/>
  <c r="T108" i="1"/>
  <c r="U108" i="1"/>
  <c r="V108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S116" i="1"/>
  <c r="U116" i="1"/>
  <c r="V116" i="1"/>
  <c r="V107" i="1"/>
  <c r="U107" i="1"/>
  <c r="T107" i="1"/>
  <c r="S107" i="1"/>
  <c r="R107" i="1"/>
  <c r="R94" i="1"/>
  <c r="S94" i="1"/>
  <c r="T94" i="1"/>
  <c r="U94" i="1"/>
  <c r="V94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V93" i="1"/>
  <c r="U93" i="1"/>
  <c r="T93" i="1"/>
  <c r="S93" i="1"/>
  <c r="R93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R88" i="1"/>
  <c r="S88" i="1"/>
  <c r="T88" i="1"/>
  <c r="U88" i="1"/>
  <c r="V88" i="1"/>
  <c r="S89" i="1"/>
  <c r="U89" i="1"/>
  <c r="V89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0" i="1"/>
  <c r="O175" i="1" l="1"/>
  <c r="O196" i="1"/>
  <c r="K196" i="1"/>
  <c r="L195" i="1" s="1"/>
  <c r="H196" i="1"/>
  <c r="K181" i="1"/>
  <c r="H181" i="1"/>
  <c r="D181" i="1"/>
  <c r="H175" i="1"/>
  <c r="K175" i="1"/>
  <c r="H157" i="1"/>
  <c r="O157" i="1"/>
  <c r="K157" i="1"/>
  <c r="O151" i="1"/>
  <c r="K151" i="1"/>
  <c r="H151" i="1"/>
  <c r="D151" i="1"/>
  <c r="O124" i="1"/>
  <c r="K124" i="1"/>
  <c r="L120" i="1" s="1"/>
  <c r="H124" i="1"/>
  <c r="T124" i="1" s="1"/>
  <c r="H116" i="1"/>
  <c r="O116" i="1"/>
  <c r="K116" i="1"/>
  <c r="L96" i="1" s="1"/>
  <c r="O89" i="1"/>
  <c r="K89" i="1"/>
  <c r="H89" i="1"/>
  <c r="D89" i="1"/>
  <c r="O55" i="1"/>
  <c r="K55" i="1"/>
  <c r="H55" i="1"/>
  <c r="O22" i="1"/>
  <c r="H22" i="1"/>
  <c r="E48" i="1" l="1"/>
  <c r="L47" i="1"/>
  <c r="L49" i="1"/>
  <c r="L48" i="1"/>
  <c r="L50" i="1"/>
  <c r="L93" i="1"/>
  <c r="L107" i="1"/>
  <c r="L142" i="1"/>
  <c r="L147" i="1"/>
  <c r="L171" i="1"/>
  <c r="L173" i="1"/>
  <c r="L81" i="1"/>
  <c r="L61" i="1"/>
  <c r="L146" i="1"/>
  <c r="L95" i="1"/>
  <c r="L25" i="1"/>
  <c r="L38" i="1"/>
  <c r="T175" i="1"/>
  <c r="L85" i="1"/>
  <c r="L86" i="1"/>
  <c r="E78" i="1"/>
  <c r="E86" i="1"/>
  <c r="T196" i="1"/>
  <c r="L78" i="1"/>
  <c r="T55" i="1"/>
  <c r="T157" i="1"/>
  <c r="R157" i="1"/>
  <c r="T89" i="1"/>
  <c r="T151" i="1"/>
  <c r="T22" i="1"/>
  <c r="R124" i="1"/>
  <c r="R196" i="1"/>
  <c r="T116" i="1"/>
  <c r="O176" i="1"/>
  <c r="O197" i="1" s="1"/>
  <c r="R151" i="1"/>
  <c r="L141" i="1"/>
  <c r="R116" i="1"/>
  <c r="R89" i="1"/>
  <c r="L60" i="1"/>
  <c r="L62" i="1"/>
  <c r="L64" i="1"/>
  <c r="L66" i="1"/>
  <c r="L68" i="1"/>
  <c r="L70" i="1"/>
  <c r="L72" i="1"/>
  <c r="L74" i="1"/>
  <c r="L76" i="1"/>
  <c r="L79" i="1"/>
  <c r="L83" i="1"/>
  <c r="L88" i="1"/>
  <c r="L59" i="1"/>
  <c r="L63" i="1"/>
  <c r="L65" i="1"/>
  <c r="L67" i="1"/>
  <c r="L69" i="1"/>
  <c r="L71" i="1"/>
  <c r="L73" i="1"/>
  <c r="L75" i="1"/>
  <c r="L77" i="1"/>
  <c r="L80" i="1"/>
  <c r="L82" i="1"/>
  <c r="L84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7" i="1"/>
  <c r="E169" i="1"/>
  <c r="E171" i="1"/>
  <c r="E174" i="1"/>
  <c r="E166" i="1"/>
  <c r="E168" i="1"/>
  <c r="E170" i="1"/>
  <c r="E172" i="1"/>
  <c r="R175" i="1"/>
  <c r="H176" i="1"/>
  <c r="H197" i="1" s="1"/>
  <c r="J10" i="4"/>
  <c r="J12" i="4" s="1"/>
  <c r="I12" i="4"/>
  <c r="H12" i="4"/>
  <c r="G12" i="4"/>
  <c r="F12" i="4"/>
  <c r="E12" i="4"/>
  <c r="C12" i="4"/>
  <c r="L194" i="1"/>
  <c r="E192" i="1"/>
  <c r="L193" i="1"/>
  <c r="L192" i="1"/>
  <c r="L190" i="1"/>
  <c r="L189" i="1"/>
  <c r="L188" i="1"/>
  <c r="L186" i="1"/>
  <c r="L185" i="1"/>
  <c r="L184" i="1"/>
  <c r="V181" i="1"/>
  <c r="U181" i="1"/>
  <c r="L179" i="1"/>
  <c r="E179" i="1"/>
  <c r="L172" i="1"/>
  <c r="L166" i="1"/>
  <c r="L162" i="1"/>
  <c r="L154" i="1"/>
  <c r="E156" i="1"/>
  <c r="E150" i="1"/>
  <c r="E147" i="1"/>
  <c r="L140" i="1"/>
  <c r="L138" i="1"/>
  <c r="L135" i="1"/>
  <c r="L132" i="1"/>
  <c r="L130" i="1"/>
  <c r="L127" i="1"/>
  <c r="L122" i="1"/>
  <c r="E123" i="1"/>
  <c r="L123" i="1"/>
  <c r="E85" i="1"/>
  <c r="E87" i="1"/>
  <c r="E84" i="1"/>
  <c r="E82" i="1"/>
  <c r="E80" i="1"/>
  <c r="E77" i="1"/>
  <c r="E75" i="1"/>
  <c r="E73" i="1"/>
  <c r="E71" i="1"/>
  <c r="E69" i="1"/>
  <c r="E67" i="1"/>
  <c r="E65" i="1"/>
  <c r="E63" i="1"/>
  <c r="E61" i="1"/>
  <c r="E59" i="1"/>
  <c r="L51" i="1"/>
  <c r="R55" i="1"/>
  <c r="L52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9" i="1"/>
  <c r="L128" i="1"/>
  <c r="L131" i="1"/>
  <c r="L134" i="1"/>
  <c r="L136" i="1"/>
  <c r="L139" i="1"/>
  <c r="L143" i="1"/>
  <c r="E18" i="1"/>
  <c r="L58" i="1"/>
  <c r="E62" i="1"/>
  <c r="E119" i="1"/>
  <c r="E127" i="1"/>
  <c r="E128" i="1"/>
  <c r="E129" i="1"/>
  <c r="E134" i="1"/>
  <c r="E135" i="1"/>
  <c r="E136" i="1"/>
  <c r="E137" i="1"/>
  <c r="E142" i="1"/>
  <c r="E145" i="1"/>
  <c r="E149" i="1"/>
  <c r="L168" i="1"/>
  <c r="L170" i="1"/>
  <c r="E11" i="1"/>
  <c r="E13" i="1"/>
  <c r="E16" i="1"/>
  <c r="E20" i="1"/>
  <c r="L29" i="1"/>
  <c r="L37" i="1"/>
  <c r="L43" i="1"/>
  <c r="K176" i="1"/>
  <c r="L121" i="1"/>
  <c r="E130" i="1"/>
  <c r="E131" i="1"/>
  <c r="E132" i="1"/>
  <c r="E133" i="1"/>
  <c r="E138" i="1"/>
  <c r="E139" i="1"/>
  <c r="E140" i="1"/>
  <c r="E141" i="1"/>
  <c r="E143" i="1"/>
  <c r="E144" i="1"/>
  <c r="E146" i="1"/>
  <c r="E148" i="1"/>
  <c r="L161" i="1"/>
  <c r="L167" i="1"/>
  <c r="L100" i="1"/>
  <c r="L109" i="1"/>
  <c r="L99" i="1"/>
  <c r="L33" i="1"/>
  <c r="L44" i="1"/>
  <c r="L53" i="1"/>
  <c r="E122" i="1"/>
  <c r="L145" i="1"/>
  <c r="L149" i="1"/>
  <c r="L156" i="1"/>
  <c r="E187" i="1"/>
  <c r="E191" i="1"/>
  <c r="E195" i="1"/>
  <c r="D12" i="4"/>
  <c r="E94" i="1"/>
  <c r="L36" i="1"/>
  <c r="L39" i="1"/>
  <c r="L30" i="1"/>
  <c r="L41" i="1"/>
  <c r="L129" i="1"/>
  <c r="L133" i="1"/>
  <c r="L137" i="1"/>
  <c r="E155" i="1"/>
  <c r="E165" i="1"/>
  <c r="E180" i="1"/>
  <c r="L187" i="1"/>
  <c r="L191" i="1"/>
  <c r="L28" i="1"/>
  <c r="E7" i="1"/>
  <c r="E17" i="1"/>
  <c r="E21" i="1"/>
  <c r="L27" i="1"/>
  <c r="L35" i="1"/>
  <c r="L46" i="1"/>
  <c r="E58" i="1"/>
  <c r="E66" i="1"/>
  <c r="E70" i="1"/>
  <c r="E74" i="1"/>
  <c r="E79" i="1"/>
  <c r="E83" i="1"/>
  <c r="E88" i="1"/>
  <c r="E121" i="1"/>
  <c r="L144" i="1"/>
  <c r="L148" i="1"/>
  <c r="L155" i="1"/>
  <c r="L165" i="1"/>
  <c r="L169" i="1"/>
  <c r="L174" i="1"/>
  <c r="L180" i="1"/>
  <c r="R181" i="1"/>
  <c r="E186" i="1"/>
  <c r="E190" i="1"/>
  <c r="E194" i="1"/>
  <c r="E154" i="1"/>
  <c r="E162" i="1"/>
  <c r="E185" i="1"/>
  <c r="E189" i="1"/>
  <c r="E193" i="1"/>
  <c r="L45" i="1"/>
  <c r="L54" i="1"/>
  <c r="L26" i="1"/>
  <c r="L34" i="1"/>
  <c r="E161" i="1"/>
  <c r="E12" i="1"/>
  <c r="E15" i="1"/>
  <c r="L31" i="1"/>
  <c r="L42" i="1"/>
  <c r="E60" i="1"/>
  <c r="E64" i="1"/>
  <c r="E68" i="1"/>
  <c r="E72" i="1"/>
  <c r="E76" i="1"/>
  <c r="E81" i="1"/>
  <c r="L150" i="1"/>
  <c r="E184" i="1"/>
  <c r="E188" i="1"/>
  <c r="L110" i="1" l="1"/>
  <c r="L94" i="1"/>
  <c r="L97" i="1"/>
  <c r="L103" i="1"/>
  <c r="L112" i="1"/>
  <c r="E108" i="1"/>
  <c r="L98" i="1"/>
  <c r="K197" i="1"/>
  <c r="L22" i="1"/>
  <c r="L151" i="1"/>
  <c r="L55" i="1"/>
  <c r="L124" i="1"/>
  <c r="L89" i="1"/>
  <c r="L116" i="1"/>
  <c r="L175" i="1"/>
  <c r="L157" i="1"/>
  <c r="L102" i="1"/>
  <c r="L101" i="1"/>
  <c r="L115" i="1"/>
  <c r="L111" i="1"/>
  <c r="L113" i="1"/>
  <c r="L104" i="1"/>
  <c r="L114" i="1"/>
  <c r="L108" i="1"/>
  <c r="E114" i="1"/>
  <c r="E111" i="1"/>
  <c r="E104" i="1"/>
  <c r="E101" i="1"/>
  <c r="E98" i="1"/>
  <c r="E103" i="1"/>
  <c r="E99" i="1"/>
  <c r="E109" i="1"/>
  <c r="E100" i="1"/>
  <c r="D176" i="1"/>
  <c r="E115" i="1"/>
  <c r="E93" i="1"/>
  <c r="E102" i="1"/>
  <c r="E97" i="1"/>
  <c r="E113" i="1"/>
  <c r="E112" i="1"/>
  <c r="E110" i="1"/>
  <c r="E107" i="1"/>
  <c r="E116" i="1" l="1"/>
  <c r="R176" i="1"/>
  <c r="E55" i="1"/>
  <c r="E151" i="1"/>
  <c r="D197" i="1"/>
  <c r="E89" i="1"/>
  <c r="E22" i="1"/>
  <c r="E175" i="1"/>
  <c r="E124" i="1"/>
  <c r="E157" i="1"/>
</calcChain>
</file>

<file path=xl/sharedStrings.xml><?xml version="1.0" encoding="utf-8"?>
<sst xmlns="http://schemas.openxmlformats.org/spreadsheetml/2006/main" count="411" uniqueCount="257">
  <si>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</si>
  <si>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</si>
  <si>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</si>
  <si>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</si>
  <si>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</si>
  <si>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</si>
  <si>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</si>
  <si>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</si>
  <si>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</si>
  <si>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</si>
  <si>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</si>
  <si>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</si>
  <si>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</si>
  <si>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</si>
  <si>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</si>
  <si>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</si>
  <si>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</si>
  <si>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</si>
  <si>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</si>
  <si>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</si>
  <si>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</si>
  <si>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</si>
  <si>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</si>
  <si>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</si>
  <si>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</si>
  <si>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</si>
  <si>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</si>
  <si>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</si>
  <si>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</si>
  <si>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</si>
  <si>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</si>
  <si>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</si>
  <si>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</si>
  <si>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</si>
  <si>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</si>
  <si>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</si>
  <si>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</si>
  <si>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</si>
  <si>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</si>
  <si>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</si>
  <si>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</si>
  <si>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</si>
  <si>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</si>
  <si>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</si>
  <si>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</si>
  <si>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</si>
  <si>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</si>
  <si>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</si>
  <si>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</si>
  <si>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</si>
  <si>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</si>
  <si>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</si>
  <si>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</si>
  <si>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</si>
  <si>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</si>
  <si>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</si>
  <si>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</si>
  <si>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</si>
  <si>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</si>
  <si>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</si>
  <si>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</si>
  <si>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</si>
  <si>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</si>
  <si>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</si>
  <si>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</si>
  <si>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</si>
  <si>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</si>
  <si>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</si>
  <si>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</si>
  <si>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</si>
  <si>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</si>
  <si>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</si>
  <si>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</si>
  <si>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</si>
  <si>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</si>
  <si>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</si>
  <si>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</si>
  <si>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</si>
  <si>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</si>
  <si>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</si>
  <si>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</si>
  <si>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</si>
  <si>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</si>
  <si>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</si>
  <si>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</si>
  <si>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</si>
  <si>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</si>
  <si>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</si>
  <si>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</si>
  <si>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</si>
  <si>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</si>
  <si>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</si>
  <si>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</si>
  <si>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</si>
  <si>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</si>
  <si>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</si>
  <si>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</si>
  <si>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</si>
  <si>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</si>
  <si>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</si>
  <si>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</si>
  <si>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</si>
  <si>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</si>
  <si>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</si>
  <si>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</si>
  <si>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</si>
  <si>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</si>
  <si>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</si>
  <si>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</si>
  <si>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</si>
  <si>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</si>
  <si>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</si>
  <si>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</si>
  <si>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</si>
  <si>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</si>
  <si>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</si>
  <si>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</si>
  <si>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</si>
  <si>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</si>
  <si>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</si>
  <si>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</si>
  <si>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</si>
  <si>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</si>
  <si>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</si>
  <si>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</si>
  <si>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</si>
  <si>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</si>
  <si>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</si>
  <si>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</si>
  <si>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</si>
  <si>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</si>
  <si>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</si>
  <si>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</si>
  <si>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</si>
  <si>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</si>
  <si>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</si>
  <si>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</si>
  <si>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</si>
  <si>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</si>
  <si>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</si>
  <si>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</si>
  <si>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</si>
  <si>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</si>
  <si>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</si>
  <si>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</si>
  <si>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</si>
  <si>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</si>
  <si>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</si>
  <si>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</si>
  <si>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</si>
  <si>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</si>
  <si>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</si>
  <si>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</si>
  <si>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</si>
  <si>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</si>
  <si>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</si>
  <si>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</si>
  <si>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</si>
  <si>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</si>
  <si>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</si>
  <si>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</si>
  <si>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</si>
  <si>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</si>
  <si>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</si>
  <si>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</si>
  <si>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</si>
  <si>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</si>
  <si>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</si>
  <si>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</si>
  <si>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</si>
  <si>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</si>
  <si>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</si>
  <si>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</si>
  <si>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</si>
  <si>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</si>
  <si>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</si>
  <si>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</si>
  <si>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</si>
  <si>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</si>
  <si>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</si>
  <si>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</si>
  <si>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</si>
  <si>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</si>
  <si>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</si>
  <si>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</si>
  <si>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</si>
  <si>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</si>
  <si>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</si>
  <si>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</si>
  <si>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</si>
  <si>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</si>
  <si>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</si>
  <si>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</si>
  <si>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</si>
  <si>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</si>
  <si>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</si>
  <si>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</si>
  <si>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</si>
  <si>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</si>
  <si>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</si>
  <si>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</si>
  <si>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</si>
  <si>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</si>
  <si>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</si>
  <si>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</si>
  <si>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</si>
  <si>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</si>
  <si>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</si>
  <si>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</si>
  <si>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</si>
  <si>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</si>
  <si>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</si>
  <si>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</si>
  <si>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</si>
  <si>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</si>
  <si>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</si>
  <si>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</si>
  <si>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</si>
  <si>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</si>
  <si>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</si>
  <si>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</si>
  <si>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</si>
  <si>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</si>
  <si>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</si>
  <si>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</si>
  <si>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</si>
  <si>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</si>
  <si>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</si>
  <si>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</si>
  <si>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</si>
  <si>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</si>
  <si>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</si>
  <si>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</si>
  <si>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</si>
  <si>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</si>
  <si>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</si>
  <si>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</si>
  <si>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</si>
  <si>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</si>
  <si>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</si>
  <si>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</si>
  <si>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</si>
  <si>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</si>
  <si>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</si>
  <si>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</si>
  <si>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</si>
  <si>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</si>
  <si>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</si>
  <si>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NAV, Unit Price and Yield as at Week Ended November 24, 2023</t>
  </si>
  <si>
    <t>Page Money Market Fund</t>
  </si>
  <si>
    <t>Page Asset Management Limited</t>
  </si>
  <si>
    <t>Week Ended November 24, 2023</t>
  </si>
  <si>
    <t>WEEKLY VALUATION REPORT OF COLLECTIVE INVESTMENT SCHEMES AS AT WEEK ENDED FRIDAY, DECEMBER 1, 2023</t>
  </si>
  <si>
    <t>NAV, Unit Price and Yield as at Week Ended December 1, 2023</t>
  </si>
  <si>
    <t>16.59% </t>
  </si>
  <si>
    <t>Week Ended December 1, 2023</t>
  </si>
  <si>
    <t>The chart above shows that Money Market Fund category has 40.99% share of the Aggregate Net Asset Value (NAV), followed by Dollar Fund (Eurobonds and Fixed Income) with 35.35%, Bond/Fixed Income Fund at 13.77%, Real Estate Investment Trust at 4.55%.  Next is Shari'ah Compliant Fund at 2.13%, Balanced Fund at 1.92%, Equity Fund at 1.08%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</si>
</sst>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11" fillId="3" borderId="0" xfId="0" applyFont="1" applyFill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166" fontId="4" fillId="5" borderId="5" xfId="2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wrapText="1"/>
    </xf>
    <xf numFmtId="16" fontId="10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43" fontId="12" fillId="3" borderId="0" xfId="1" applyFont="1" applyFill="1" applyBorder="1" applyAlignment="1">
      <alignment horizontal="right" vertical="top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November 24,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22.9178885505649</c:v>
                </c:pt>
                <c:pt idx="1">
                  <c:v>869.35068596734209</c:v>
                </c:pt>
                <c:pt idx="2">
                  <c:v>292.383213255361</c:v>
                </c:pt>
                <c:pt idx="3">
                  <c:v>652.99662337459904</c:v>
                </c:pt>
                <c:pt idx="4">
                  <c:v>95.820553466403197</c:v>
                </c:pt>
                <c:pt idx="5" formatCode="_(* #,##0.00_);_(* \(#,##0.00\);_(* &quot;-&quot;??_);_(@_)">
                  <c:v>40.1860471851911</c:v>
                </c:pt>
                <c:pt idx="6">
                  <c:v>4.2344948158499998</c:v>
                </c:pt>
                <c:pt idx="7">
                  <c:v>45.908361267540002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December 1,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23.0028422880406</c:v>
                </c:pt>
                <c:pt idx="1">
                  <c:v>869.196903201498</c:v>
                </c:pt>
                <c:pt idx="2">
                  <c:v>291.94813351151504</c:v>
                </c:pt>
                <c:pt idx="3">
                  <c:v>749.48723967521903</c:v>
                </c:pt>
                <c:pt idx="4">
                  <c:v>96.469811252586894</c:v>
                </c:pt>
                <c:pt idx="5" formatCode="_(* #,##0.00_);_(* \(#,##0.00\);_(* &quot;-&quot;??_);_(@_)">
                  <c:v>40.757011293124997</c:v>
                </c:pt>
                <c:pt idx="6">
                  <c:v>4.2658394917800004</c:v>
                </c:pt>
                <c:pt idx="7">
                  <c:v>45.253870390849997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1ST DECEMBER,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01-Dec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4265839491.7800002</c:v>
                </c:pt>
                <c:pt idx="1">
                  <c:v>23002842288.0406</c:v>
                </c:pt>
                <c:pt idx="2" formatCode="_(* #,##0.00_);_(* \(#,##0.00\);_(* &quot;-&quot;??_);_(@_)">
                  <c:v>40757011293.125015</c:v>
                </c:pt>
                <c:pt idx="3">
                  <c:v>45253870390.850006</c:v>
                </c:pt>
                <c:pt idx="4">
                  <c:v>96469811252.586914</c:v>
                </c:pt>
                <c:pt idx="5">
                  <c:v>291948133511.51477</c:v>
                </c:pt>
                <c:pt idx="6">
                  <c:v>749487239675.21936</c:v>
                </c:pt>
                <c:pt idx="7">
                  <c:v>869196903201.49829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Movement'!$C$2:$I$2</c:f>
              <c:numCache>
                <c:formatCode>d\-mmm</c:formatCode>
                <c:ptCount val="7"/>
                <c:pt idx="0">
                  <c:v>45219</c:v>
                </c:pt>
                <c:pt idx="1">
                  <c:v>45226</c:v>
                </c:pt>
                <c:pt idx="2">
                  <c:v>45233</c:v>
                </c:pt>
                <c:pt idx="3">
                  <c:v>45240</c:v>
                </c:pt>
                <c:pt idx="4">
                  <c:v>45247</c:v>
                </c:pt>
                <c:pt idx="5">
                  <c:v>45254</c:v>
                </c:pt>
                <c:pt idx="6">
                  <c:v>45261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2002190167303.2449</c:v>
                </c:pt>
                <c:pt idx="1">
                  <c:v>1992052361749.9485</c:v>
                </c:pt>
                <c:pt idx="2">
                  <c:v>1995029350611.7961</c:v>
                </c:pt>
                <c:pt idx="3">
                  <c:v>2004454649356.7783</c:v>
                </c:pt>
                <c:pt idx="4">
                  <c:v>2019879952817.2942</c:v>
                </c:pt>
                <c:pt idx="5">
                  <c:v>2023797867882.8513</c:v>
                </c:pt>
                <c:pt idx="6">
                  <c:v>2120381651104.615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606136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7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43" t="s">
        <v>252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5" ht="15" customHeight="1">
      <c r="A2" s="1"/>
      <c r="B2" s="1"/>
      <c r="C2" s="1"/>
      <c r="D2" s="149" t="s">
        <v>248</v>
      </c>
      <c r="E2" s="150"/>
      <c r="F2" s="150"/>
      <c r="G2" s="150"/>
      <c r="H2" s="150"/>
      <c r="I2" s="150"/>
      <c r="J2" s="151"/>
      <c r="K2" s="149" t="s">
        <v>253</v>
      </c>
      <c r="L2" s="150"/>
      <c r="M2" s="150"/>
      <c r="N2" s="150"/>
      <c r="O2" s="150"/>
      <c r="P2" s="150"/>
      <c r="Q2" s="151"/>
      <c r="R2" s="149" t="s">
        <v>0</v>
      </c>
      <c r="S2" s="150"/>
      <c r="T2" s="151"/>
      <c r="U2" s="147" t="s">
        <v>1</v>
      </c>
      <c r="V2" s="147"/>
    </row>
    <row r="3" spans="1:25" ht="25.5">
      <c r="A3" s="83" t="s">
        <v>2</v>
      </c>
      <c r="B3" s="77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230</v>
      </c>
      <c r="I3" s="79" t="s">
        <v>9</v>
      </c>
      <c r="J3" s="79" t="s">
        <v>10</v>
      </c>
      <c r="K3" s="80" t="s">
        <v>5</v>
      </c>
      <c r="L3" s="79" t="s">
        <v>6</v>
      </c>
      <c r="M3" s="79" t="s">
        <v>7</v>
      </c>
      <c r="N3" s="79" t="s">
        <v>8</v>
      </c>
      <c r="O3" s="79" t="s">
        <v>230</v>
      </c>
      <c r="P3" s="79" t="s">
        <v>9</v>
      </c>
      <c r="Q3" s="79" t="s">
        <v>10</v>
      </c>
      <c r="R3" s="78" t="s">
        <v>11</v>
      </c>
      <c r="S3" s="79" t="s">
        <v>12</v>
      </c>
      <c r="T3" s="79" t="s">
        <v>236</v>
      </c>
      <c r="U3" s="79" t="s">
        <v>13</v>
      </c>
      <c r="V3" s="79" t="s">
        <v>14</v>
      </c>
    </row>
    <row r="4" spans="1:25" ht="7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5" ht="15" customHeight="1">
      <c r="A5" s="140" t="s">
        <v>15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5">
      <c r="A6" s="129">
        <v>1</v>
      </c>
      <c r="B6" s="120" t="s">
        <v>16</v>
      </c>
      <c r="C6" s="121" t="s">
        <v>17</v>
      </c>
      <c r="D6" s="2">
        <v>730301074.57000005</v>
      </c>
      <c r="E6" s="3">
        <f t="shared" ref="E6:E21" si="0">(D6/$D$22)</f>
        <v>3.1865984205250837E-2</v>
      </c>
      <c r="F6" s="8">
        <v>290.18520000000001</v>
      </c>
      <c r="G6" s="8">
        <v>294.17739999999998</v>
      </c>
      <c r="H6" s="60">
        <v>1725</v>
      </c>
      <c r="I6" s="5">
        <v>1.0800000000000001E-2</v>
      </c>
      <c r="J6" s="5">
        <v>0.53939999999999999</v>
      </c>
      <c r="K6" s="2">
        <v>748737325.54999995</v>
      </c>
      <c r="L6" s="3">
        <f>(K6/$K$22)</f>
        <v>3.2549774335464438E-2</v>
      </c>
      <c r="M6" s="8">
        <v>293.83010000000002</v>
      </c>
      <c r="N6" s="8">
        <v>297.803</v>
      </c>
      <c r="O6" s="60">
        <v>1725</v>
      </c>
      <c r="P6" s="5">
        <v>1.26E-2</v>
      </c>
      <c r="Q6" s="5">
        <v>0.55869999999999997</v>
      </c>
      <c r="R6" s="81">
        <f>((K6-D6)/D6)</f>
        <v>2.5244726622996046E-2</v>
      </c>
      <c r="S6" s="81">
        <f t="shared" ref="S6" si="1">((N6-G6)/G6)</f>
        <v>1.2324536147236395E-2</v>
      </c>
      <c r="T6" s="81">
        <f>((O6-H6)/H6)</f>
        <v>0</v>
      </c>
      <c r="U6" s="82">
        <f>P6-I6</f>
        <v>1.7999999999999995E-3</v>
      </c>
      <c r="V6" s="84">
        <f>Q6-J6</f>
        <v>1.9299999999999984E-2</v>
      </c>
    </row>
    <row r="7" spans="1:25">
      <c r="A7" s="126">
        <v>2</v>
      </c>
      <c r="B7" s="120" t="s">
        <v>18</v>
      </c>
      <c r="C7" s="121" t="s">
        <v>19</v>
      </c>
      <c r="D7" s="4">
        <v>498326458.10000002</v>
      </c>
      <c r="E7" s="3">
        <f t="shared" si="0"/>
        <v>2.1743995176541551E-2</v>
      </c>
      <c r="F7" s="4">
        <v>182.8357</v>
      </c>
      <c r="G7" s="4">
        <v>185.21199999999999</v>
      </c>
      <c r="H7" s="60">
        <v>368</v>
      </c>
      <c r="I7" s="5">
        <v>5.568E-3</v>
      </c>
      <c r="J7" s="5">
        <v>0.26140000000000002</v>
      </c>
      <c r="K7" s="4">
        <v>499628827.81999999</v>
      </c>
      <c r="L7" s="3">
        <f t="shared" ref="L7:L21" si="2">(K7/$K$22)</f>
        <v>2.1720308367273459E-2</v>
      </c>
      <c r="M7" s="4">
        <v>183.29040000000001</v>
      </c>
      <c r="N7" s="4">
        <v>185.6953</v>
      </c>
      <c r="O7" s="60">
        <v>370</v>
      </c>
      <c r="P7" s="5">
        <v>3.7599999999999999E-3</v>
      </c>
      <c r="Q7" s="5">
        <v>0.26450000000000001</v>
      </c>
      <c r="R7" s="81">
        <f t="shared" ref="R7:R22" si="3">((K7-D7)/D7)</f>
        <v>2.6134869999991455E-3</v>
      </c>
      <c r="S7" s="81">
        <f t="shared" ref="S7:S22" si="4">((N7-G7)/G7)</f>
        <v>2.6094421527763541E-3</v>
      </c>
      <c r="T7" s="81">
        <f t="shared" ref="T7:T22" si="5">((O7-H7)/H7)</f>
        <v>5.434782608695652E-3</v>
      </c>
      <c r="U7" s="82">
        <f t="shared" ref="U7:U22" si="6">P7-I7</f>
        <v>-1.8080000000000001E-3</v>
      </c>
      <c r="V7" s="84">
        <f t="shared" ref="V7:V22" si="7">Q7-J7</f>
        <v>3.0999999999999917E-3</v>
      </c>
    </row>
    <row r="8" spans="1:25">
      <c r="A8" s="134">
        <v>3</v>
      </c>
      <c r="B8" s="120" t="s">
        <v>20</v>
      </c>
      <c r="C8" s="121" t="s">
        <v>21</v>
      </c>
      <c r="D8" s="4">
        <v>3193696354.3899999</v>
      </c>
      <c r="E8" s="3">
        <f t="shared" si="0"/>
        <v>0.13935386531545371</v>
      </c>
      <c r="F8" s="4">
        <v>29.485600000000002</v>
      </c>
      <c r="G8" s="4">
        <v>30.374600000000001</v>
      </c>
      <c r="H8" s="62">
        <v>6334</v>
      </c>
      <c r="I8" s="6">
        <v>7.9899999999999999E-2</v>
      </c>
      <c r="J8" s="6">
        <v>0.36759999999999998</v>
      </c>
      <c r="K8" s="4">
        <v>3196994769.7199998</v>
      </c>
      <c r="L8" s="3">
        <f t="shared" si="2"/>
        <v>0.13898259744110614</v>
      </c>
      <c r="M8" s="4">
        <v>29.505400000000002</v>
      </c>
      <c r="N8" s="4">
        <v>30.395</v>
      </c>
      <c r="O8" s="62">
        <v>6336</v>
      </c>
      <c r="P8" s="6">
        <v>3.5000000000000003E-2</v>
      </c>
      <c r="Q8" s="6">
        <v>0.3609</v>
      </c>
      <c r="R8" s="81">
        <f t="shared" si="3"/>
        <v>1.0327892711108804E-3</v>
      </c>
      <c r="S8" s="81">
        <f t="shared" si="4"/>
        <v>6.716137825682854E-4</v>
      </c>
      <c r="T8" s="81">
        <f t="shared" si="5"/>
        <v>3.1575623618566466E-4</v>
      </c>
      <c r="U8" s="82">
        <f t="shared" si="6"/>
        <v>-4.4899999999999995E-2</v>
      </c>
      <c r="V8" s="84">
        <f t="shared" si="7"/>
        <v>-6.6999999999999837E-3</v>
      </c>
      <c r="X8" s="107"/>
      <c r="Y8" s="107"/>
    </row>
    <row r="9" spans="1:25">
      <c r="A9" s="127">
        <v>4</v>
      </c>
      <c r="B9" s="120" t="s">
        <v>22</v>
      </c>
      <c r="C9" s="121" t="s">
        <v>23</v>
      </c>
      <c r="D9" s="4">
        <v>454424670.95999998</v>
      </c>
      <c r="E9" s="3">
        <f t="shared" si="0"/>
        <v>1.9828382966318201E-2</v>
      </c>
      <c r="F9" s="4">
        <v>192.66</v>
      </c>
      <c r="G9" s="4">
        <v>192.66</v>
      </c>
      <c r="H9" s="60">
        <v>1689</v>
      </c>
      <c r="I9" s="5">
        <v>6.1000000000000004E-3</v>
      </c>
      <c r="J9" s="5">
        <v>0.4108</v>
      </c>
      <c r="K9" s="4">
        <v>458386796.18000001</v>
      </c>
      <c r="L9" s="3">
        <f t="shared" si="2"/>
        <v>1.9927398120636586E-2</v>
      </c>
      <c r="M9" s="4">
        <v>193.46</v>
      </c>
      <c r="N9" s="4">
        <v>193.46</v>
      </c>
      <c r="O9" s="60">
        <v>1695</v>
      </c>
      <c r="P9" s="5">
        <v>4.1000000000000003E-3</v>
      </c>
      <c r="Q9" s="5">
        <v>0.41670000000000001</v>
      </c>
      <c r="R9" s="81">
        <f t="shared" si="3"/>
        <v>8.7189923285410451E-3</v>
      </c>
      <c r="S9" s="81">
        <f t="shared" si="4"/>
        <v>4.1523928163604866E-3</v>
      </c>
      <c r="T9" s="81">
        <f t="shared" si="5"/>
        <v>3.552397868561279E-3</v>
      </c>
      <c r="U9" s="82">
        <f t="shared" si="6"/>
        <v>-2E-3</v>
      </c>
      <c r="V9" s="84">
        <f t="shared" si="7"/>
        <v>5.9000000000000163E-3</v>
      </c>
    </row>
    <row r="10" spans="1:25">
      <c r="A10" s="131">
        <v>5</v>
      </c>
      <c r="B10" s="120" t="s">
        <v>24</v>
      </c>
      <c r="C10" s="121" t="s">
        <v>25</v>
      </c>
      <c r="D10" s="7">
        <v>123183588.93000001</v>
      </c>
      <c r="E10" s="3">
        <f t="shared" si="0"/>
        <v>5.3749972934118168E-3</v>
      </c>
      <c r="F10" s="4">
        <v>132.4161</v>
      </c>
      <c r="G10" s="4">
        <v>133.2055</v>
      </c>
      <c r="H10" s="62">
        <v>58</v>
      </c>
      <c r="I10" s="6">
        <v>1.3299999999999999E-2</v>
      </c>
      <c r="J10" s="6">
        <v>0.2606</v>
      </c>
      <c r="K10" s="7">
        <v>123648928.44</v>
      </c>
      <c r="L10" s="3">
        <f t="shared" si="2"/>
        <v>5.37537609012284E-3</v>
      </c>
      <c r="M10" s="4">
        <v>132.78890000000001</v>
      </c>
      <c r="N10" s="4">
        <v>133.57830000000001</v>
      </c>
      <c r="O10" s="62">
        <v>60</v>
      </c>
      <c r="P10" s="133">
        <v>3.21E-4</v>
      </c>
      <c r="Q10" s="6">
        <v>0.26390000000000002</v>
      </c>
      <c r="R10" s="81">
        <f t="shared" si="3"/>
        <v>3.7776096153881596E-3</v>
      </c>
      <c r="S10" s="81">
        <f t="shared" si="4"/>
        <v>2.7986832375540968E-3</v>
      </c>
      <c r="T10" s="81">
        <f t="shared" si="5"/>
        <v>3.4482758620689655E-2</v>
      </c>
      <c r="U10" s="82">
        <f t="shared" si="6"/>
        <v>-1.2978999999999999E-2</v>
      </c>
      <c r="V10" s="84">
        <f t="shared" si="7"/>
        <v>3.3000000000000251E-3</v>
      </c>
    </row>
    <row r="11" spans="1:25">
      <c r="A11" s="128">
        <v>6</v>
      </c>
      <c r="B11" s="120" t="s">
        <v>26</v>
      </c>
      <c r="C11" s="121" t="s">
        <v>27</v>
      </c>
      <c r="D11" s="4">
        <v>771352874.01999998</v>
      </c>
      <c r="E11" s="3">
        <f t="shared" si="0"/>
        <v>3.3657239946783275E-2</v>
      </c>
      <c r="F11" s="4">
        <v>233.89</v>
      </c>
      <c r="G11" s="4">
        <v>236.76</v>
      </c>
      <c r="H11" s="62">
        <v>1577</v>
      </c>
      <c r="I11" s="6">
        <v>5.3E-3</v>
      </c>
      <c r="J11" s="6">
        <v>0.54830000000000001</v>
      </c>
      <c r="K11" s="4">
        <v>774301573.52999997</v>
      </c>
      <c r="L11" s="3">
        <f t="shared" si="2"/>
        <v>3.3661126039740176E-2</v>
      </c>
      <c r="M11" s="4">
        <v>234.53</v>
      </c>
      <c r="N11" s="4">
        <v>237.57</v>
      </c>
      <c r="O11" s="62">
        <v>1578</v>
      </c>
      <c r="P11" s="6">
        <v>3.0999999999999999E-3</v>
      </c>
      <c r="Q11" s="6">
        <v>0.55210000000000004</v>
      </c>
      <c r="R11" s="81">
        <f t="shared" si="3"/>
        <v>3.8227633672154246E-3</v>
      </c>
      <c r="S11" s="81">
        <f t="shared" si="4"/>
        <v>3.421186011150542E-3</v>
      </c>
      <c r="T11" s="81">
        <f t="shared" si="5"/>
        <v>6.3411540900443881E-4</v>
      </c>
      <c r="U11" s="82">
        <f t="shared" si="6"/>
        <v>-2.2000000000000001E-3</v>
      </c>
      <c r="V11" s="84">
        <f t="shared" si="7"/>
        <v>3.8000000000000256E-3</v>
      </c>
    </row>
    <row r="12" spans="1:25">
      <c r="A12" s="125">
        <v>7</v>
      </c>
      <c r="B12" s="120" t="s">
        <v>28</v>
      </c>
      <c r="C12" s="121" t="s">
        <v>29</v>
      </c>
      <c r="D12" s="2">
        <v>301420326.99000001</v>
      </c>
      <c r="E12" s="3">
        <f t="shared" si="0"/>
        <v>1.3152185740189854E-2</v>
      </c>
      <c r="F12" s="4">
        <v>151.6</v>
      </c>
      <c r="G12" s="4">
        <v>156.32</v>
      </c>
      <c r="H12" s="60">
        <v>2379</v>
      </c>
      <c r="I12" s="5">
        <v>1.89E-2</v>
      </c>
      <c r="J12" s="5">
        <v>0.20610000000000001</v>
      </c>
      <c r="K12" s="2">
        <v>303902307.12</v>
      </c>
      <c r="L12" s="3">
        <f t="shared" si="2"/>
        <v>1.3211511139125696E-2</v>
      </c>
      <c r="M12" s="4">
        <v>152.87</v>
      </c>
      <c r="N12" s="4">
        <v>157.62</v>
      </c>
      <c r="O12" s="60">
        <v>2379</v>
      </c>
      <c r="P12" s="5">
        <v>8.2439999999999996E-3</v>
      </c>
      <c r="Q12" s="5">
        <v>0.216054</v>
      </c>
      <c r="R12" s="81">
        <f t="shared" si="3"/>
        <v>8.2342825209739019E-3</v>
      </c>
      <c r="S12" s="81">
        <f t="shared" si="4"/>
        <v>8.3162743091095923E-3</v>
      </c>
      <c r="T12" s="81">
        <f t="shared" si="5"/>
        <v>0</v>
      </c>
      <c r="U12" s="82">
        <f t="shared" si="6"/>
        <v>-1.0656000000000001E-2</v>
      </c>
      <c r="V12" s="84">
        <f t="shared" si="7"/>
        <v>9.9539999999999906E-3</v>
      </c>
    </row>
    <row r="13" spans="1:25">
      <c r="A13" s="137">
        <v>8</v>
      </c>
      <c r="B13" s="120" t="s">
        <v>30</v>
      </c>
      <c r="C13" s="121" t="s">
        <v>31</v>
      </c>
      <c r="D13" s="7">
        <v>45668093.939999998</v>
      </c>
      <c r="E13" s="3">
        <f t="shared" si="0"/>
        <v>1.9926833067208686E-3</v>
      </c>
      <c r="F13" s="4">
        <v>177.5</v>
      </c>
      <c r="G13" s="4">
        <v>183.06</v>
      </c>
      <c r="H13" s="60">
        <v>4</v>
      </c>
      <c r="I13" s="5">
        <v>3.1699999999999999E-2</v>
      </c>
      <c r="J13" s="5">
        <v>0.81140000000000001</v>
      </c>
      <c r="K13" s="7">
        <v>45964668.280000001</v>
      </c>
      <c r="L13" s="3">
        <f t="shared" si="2"/>
        <v>1.9982169031301615E-3</v>
      </c>
      <c r="M13" s="4">
        <v>178.57</v>
      </c>
      <c r="N13" s="4">
        <v>184.17</v>
      </c>
      <c r="O13" s="60">
        <v>4</v>
      </c>
      <c r="P13" s="5">
        <v>1E-4</v>
      </c>
      <c r="Q13" s="5">
        <v>0.85</v>
      </c>
      <c r="R13" s="81">
        <f t="shared" si="3"/>
        <v>6.4941256446930133E-3</v>
      </c>
      <c r="S13" s="81">
        <f t="shared" si="4"/>
        <v>6.0635857096033282E-3</v>
      </c>
      <c r="T13" s="81">
        <f t="shared" si="5"/>
        <v>0</v>
      </c>
      <c r="U13" s="82">
        <f t="shared" si="6"/>
        <v>-3.1599999999999996E-2</v>
      </c>
      <c r="V13" s="84">
        <f t="shared" si="7"/>
        <v>3.8599999999999968E-2</v>
      </c>
    </row>
    <row r="14" spans="1:25" ht="14.25" customHeight="1">
      <c r="A14" s="129">
        <v>9</v>
      </c>
      <c r="B14" s="120" t="s">
        <v>239</v>
      </c>
      <c r="C14" s="121" t="s">
        <v>32</v>
      </c>
      <c r="D14" s="2">
        <v>512732028.39490002</v>
      </c>
      <c r="E14" s="3">
        <f t="shared" si="0"/>
        <v>2.2372568365695355E-2</v>
      </c>
      <c r="F14" s="4">
        <v>1.6048</v>
      </c>
      <c r="G14" s="4">
        <v>1.6556999999999999</v>
      </c>
      <c r="H14" s="60">
        <v>355</v>
      </c>
      <c r="I14" s="5">
        <v>-1.2673803371477721E-2</v>
      </c>
      <c r="J14" s="5">
        <v>0.30985574985897335</v>
      </c>
      <c r="K14" s="2">
        <v>527219818.38059998</v>
      </c>
      <c r="L14" s="3">
        <f t="shared" si="2"/>
        <v>2.2919768425952589E-2</v>
      </c>
      <c r="M14" s="4">
        <v>1.6333</v>
      </c>
      <c r="N14" s="4">
        <v>1.6847000000000001</v>
      </c>
      <c r="O14" s="60">
        <v>361</v>
      </c>
      <c r="P14" s="5">
        <v>1.7759222333000979E-2</v>
      </c>
      <c r="Q14" s="5">
        <v>0.31622209686517855</v>
      </c>
      <c r="R14" s="81">
        <f t="shared" si="3"/>
        <v>2.8256065904550105E-2</v>
      </c>
      <c r="S14" s="81">
        <f t="shared" si="4"/>
        <v>1.7515250347285221E-2</v>
      </c>
      <c r="T14" s="81">
        <f t="shared" si="5"/>
        <v>1.6901408450704224E-2</v>
      </c>
      <c r="U14" s="82">
        <f t="shared" si="6"/>
        <v>3.04330257044787E-2</v>
      </c>
      <c r="V14" s="84">
        <f t="shared" si="7"/>
        <v>6.3663470062051974E-3</v>
      </c>
    </row>
    <row r="15" spans="1:25">
      <c r="A15" s="129">
        <v>10</v>
      </c>
      <c r="B15" s="120" t="s">
        <v>33</v>
      </c>
      <c r="C15" s="121" t="s">
        <v>34</v>
      </c>
      <c r="D15" s="2">
        <v>1311788060.24</v>
      </c>
      <c r="E15" s="3">
        <f t="shared" si="0"/>
        <v>5.7238608929689815E-2</v>
      </c>
      <c r="F15" s="4">
        <v>2.64</v>
      </c>
      <c r="G15" s="4">
        <v>2.69</v>
      </c>
      <c r="H15" s="60">
        <v>3672</v>
      </c>
      <c r="I15" s="5">
        <v>0.24099999999999999</v>
      </c>
      <c r="J15" s="5">
        <v>0.3342</v>
      </c>
      <c r="K15" s="2">
        <v>1317133686.3800001</v>
      </c>
      <c r="L15" s="3">
        <f t="shared" si="2"/>
        <v>5.7259606003767227E-2</v>
      </c>
      <c r="M15" s="4">
        <v>2.65</v>
      </c>
      <c r="N15" s="4">
        <v>2.7</v>
      </c>
      <c r="O15" s="60">
        <v>3672</v>
      </c>
      <c r="P15" s="5">
        <v>0.24590000000000001</v>
      </c>
      <c r="Q15" s="5">
        <v>0.33960000000000001</v>
      </c>
      <c r="R15" s="81">
        <f t="shared" si="3"/>
        <v>4.0750684520044255E-3</v>
      </c>
      <c r="S15" s="81">
        <f t="shared" si="4"/>
        <v>3.7174721189591939E-3</v>
      </c>
      <c r="T15" s="81">
        <f t="shared" si="5"/>
        <v>0</v>
      </c>
      <c r="U15" s="82">
        <f t="shared" si="6"/>
        <v>4.9000000000000155E-3</v>
      </c>
      <c r="V15" s="84">
        <f t="shared" si="7"/>
        <v>5.4000000000000159E-3</v>
      </c>
    </row>
    <row r="16" spans="1:25">
      <c r="A16" s="131">
        <v>11</v>
      </c>
      <c r="B16" s="120" t="s">
        <v>35</v>
      </c>
      <c r="C16" s="121" t="s">
        <v>36</v>
      </c>
      <c r="D16" s="4">
        <v>467708333.05000001</v>
      </c>
      <c r="E16" s="3">
        <f t="shared" si="0"/>
        <v>2.040800277120082E-2</v>
      </c>
      <c r="F16" s="4">
        <v>17.11599</v>
      </c>
      <c r="G16" s="4">
        <v>17.251169999999998</v>
      </c>
      <c r="H16" s="60">
        <v>258</v>
      </c>
      <c r="I16" s="5">
        <v>9.4967417524050024E-3</v>
      </c>
      <c r="J16" s="5">
        <v>0.46488905779991585</v>
      </c>
      <c r="K16" s="4">
        <v>476660385.38</v>
      </c>
      <c r="L16" s="3">
        <f t="shared" si="2"/>
        <v>2.072180382803478E-2</v>
      </c>
      <c r="M16" s="4">
        <v>17.346053999999999</v>
      </c>
      <c r="N16" s="4">
        <v>17.487082000000001</v>
      </c>
      <c r="O16" s="60">
        <v>267</v>
      </c>
      <c r="P16" s="5">
        <v>1.3441466137804392E-2</v>
      </c>
      <c r="Q16" s="5">
        <v>0.48349241517611663</v>
      </c>
      <c r="R16" s="81">
        <f t="shared" si="3"/>
        <v>1.9140245527853296E-2</v>
      </c>
      <c r="S16" s="81">
        <f t="shared" si="4"/>
        <v>1.3675130440428248E-2</v>
      </c>
      <c r="T16" s="81">
        <f t="shared" si="5"/>
        <v>3.4883720930232558E-2</v>
      </c>
      <c r="U16" s="82">
        <f t="shared" si="6"/>
        <v>3.9447243853993896E-3</v>
      </c>
      <c r="V16" s="84">
        <f t="shared" si="7"/>
        <v>1.860335737620078E-2</v>
      </c>
    </row>
    <row r="17" spans="1:22">
      <c r="A17" s="132">
        <v>12</v>
      </c>
      <c r="B17" s="120" t="s">
        <v>37</v>
      </c>
      <c r="C17" s="121" t="s">
        <v>38</v>
      </c>
      <c r="D17" s="4">
        <v>288868747.89999998</v>
      </c>
      <c r="E17" s="3">
        <f t="shared" si="0"/>
        <v>1.2604509672112865E-2</v>
      </c>
      <c r="F17" s="4">
        <v>2.081302</v>
      </c>
      <c r="G17" s="4">
        <v>2.105369</v>
      </c>
      <c r="H17" s="60">
        <v>16</v>
      </c>
      <c r="I17" s="5">
        <v>1.2999999999999999E-3</v>
      </c>
      <c r="J17" s="5">
        <v>0.46389999999999998</v>
      </c>
      <c r="K17" s="4">
        <v>288141150.05000001</v>
      </c>
      <c r="L17" s="3">
        <f t="shared" si="2"/>
        <v>1.2526328113800415E-2</v>
      </c>
      <c r="M17" s="4">
        <v>2.07606</v>
      </c>
      <c r="N17" s="4">
        <v>2.100552</v>
      </c>
      <c r="O17" s="60">
        <v>16</v>
      </c>
      <c r="P17" s="5">
        <v>1.2999999999999999E-3</v>
      </c>
      <c r="Q17" s="5">
        <v>0.46039999999999998</v>
      </c>
      <c r="R17" s="81">
        <f t="shared" si="3"/>
        <v>-2.5187835488934326E-3</v>
      </c>
      <c r="S17" s="81">
        <f t="shared" si="4"/>
        <v>-2.2879599728124005E-3</v>
      </c>
      <c r="T17" s="81">
        <f t="shared" si="5"/>
        <v>0</v>
      </c>
      <c r="U17" s="82">
        <f t="shared" si="6"/>
        <v>0</v>
      </c>
      <c r="V17" s="84">
        <f t="shared" si="7"/>
        <v>-3.5000000000000031E-3</v>
      </c>
    </row>
    <row r="18" spans="1:22">
      <c r="A18" s="135">
        <v>13</v>
      </c>
      <c r="B18" s="120" t="s">
        <v>39</v>
      </c>
      <c r="C18" s="121" t="s">
        <v>40</v>
      </c>
      <c r="D18" s="2">
        <v>1020995639.6799999</v>
      </c>
      <c r="E18" s="3">
        <f t="shared" si="0"/>
        <v>4.455016165330089E-2</v>
      </c>
      <c r="F18" s="4">
        <v>24.9</v>
      </c>
      <c r="G18" s="4">
        <v>25.41</v>
      </c>
      <c r="H18" s="60">
        <v>8863</v>
      </c>
      <c r="I18" s="5">
        <v>6.7000000000000002E-3</v>
      </c>
      <c r="J18" s="5">
        <v>0.42659999999999998</v>
      </c>
      <c r="K18" s="2">
        <v>1036245770.95</v>
      </c>
      <c r="L18" s="3">
        <f t="shared" si="2"/>
        <v>4.5048596950506163E-2</v>
      </c>
      <c r="M18" s="4">
        <v>25.36</v>
      </c>
      <c r="N18" s="4">
        <v>25.88</v>
      </c>
      <c r="O18" s="60">
        <v>8863</v>
      </c>
      <c r="P18" s="5">
        <v>1.49E-2</v>
      </c>
      <c r="Q18" s="5">
        <v>0.44629999999999997</v>
      </c>
      <c r="R18" s="81">
        <f t="shared" si="3"/>
        <v>1.4936529283102316E-2</v>
      </c>
      <c r="S18" s="81">
        <f t="shared" si="4"/>
        <v>1.849665486029118E-2</v>
      </c>
      <c r="T18" s="81">
        <f t="shared" si="5"/>
        <v>0</v>
      </c>
      <c r="U18" s="82">
        <f t="shared" si="6"/>
        <v>8.199999999999999E-3</v>
      </c>
      <c r="V18" s="84">
        <f t="shared" si="7"/>
        <v>1.9699999999999995E-2</v>
      </c>
    </row>
    <row r="19" spans="1:22" ht="12.75" customHeight="1">
      <c r="A19" s="134">
        <v>14</v>
      </c>
      <c r="B19" s="120" t="s">
        <v>41</v>
      </c>
      <c r="C19" s="121" t="s">
        <v>42</v>
      </c>
      <c r="D19" s="2">
        <v>519492919.39999998</v>
      </c>
      <c r="E19" s="3">
        <f t="shared" si="0"/>
        <v>2.2667573334856587E-2</v>
      </c>
      <c r="F19" s="4">
        <v>5069.9799999999996</v>
      </c>
      <c r="G19" s="4">
        <v>5132.97</v>
      </c>
      <c r="H19" s="60">
        <v>1135</v>
      </c>
      <c r="I19" s="5">
        <v>3.2000000000000002E-3</v>
      </c>
      <c r="J19" s="5">
        <v>0.56769999999999998</v>
      </c>
      <c r="K19" s="2">
        <v>522125803.44999999</v>
      </c>
      <c r="L19" s="3">
        <f t="shared" si="2"/>
        <v>2.2698316882407973E-2</v>
      </c>
      <c r="M19" s="4">
        <v>5095.63</v>
      </c>
      <c r="N19" s="4">
        <v>5159.0200000000004</v>
      </c>
      <c r="O19" s="60">
        <v>1135</v>
      </c>
      <c r="P19" s="5">
        <v>5.1000000000000004E-3</v>
      </c>
      <c r="Q19" s="5">
        <v>0.5756</v>
      </c>
      <c r="R19" s="81">
        <f t="shared" si="3"/>
        <v>5.0681808195594284E-3</v>
      </c>
      <c r="S19" s="81">
        <f t="shared" si="4"/>
        <v>5.0750345316649386E-3</v>
      </c>
      <c r="T19" s="81">
        <f t="shared" si="5"/>
        <v>0</v>
      </c>
      <c r="U19" s="82">
        <f t="shared" si="6"/>
        <v>1.9000000000000002E-3</v>
      </c>
      <c r="V19" s="84">
        <f t="shared" si="7"/>
        <v>7.9000000000000181E-3</v>
      </c>
    </row>
    <row r="20" spans="1:22">
      <c r="A20" s="134">
        <v>15</v>
      </c>
      <c r="B20" s="120" t="s">
        <v>43</v>
      </c>
      <c r="C20" s="121" t="s">
        <v>42</v>
      </c>
      <c r="D20" s="4">
        <v>10110828471.290001</v>
      </c>
      <c r="E20" s="3">
        <f t="shared" si="0"/>
        <v>0.44117626495049783</v>
      </c>
      <c r="F20" s="4">
        <v>17344.080000000002</v>
      </c>
      <c r="G20" s="4">
        <v>17558.23</v>
      </c>
      <c r="H20" s="60">
        <v>29430</v>
      </c>
      <c r="I20" s="5">
        <v>3.3E-3</v>
      </c>
      <c r="J20" s="5">
        <v>0.41920000000000002</v>
      </c>
      <c r="K20" s="4">
        <v>10103768736.030001</v>
      </c>
      <c r="L20" s="3">
        <f t="shared" si="2"/>
        <v>0.43924001258240369</v>
      </c>
      <c r="M20" s="4">
        <v>17330.96</v>
      </c>
      <c r="N20" s="4">
        <v>17544.87</v>
      </c>
      <c r="O20" s="60">
        <v>29441</v>
      </c>
      <c r="P20" s="5">
        <v>-8.0000000000000004E-4</v>
      </c>
      <c r="Q20" s="5">
        <v>0.41810000000000003</v>
      </c>
      <c r="R20" s="81">
        <f t="shared" si="3"/>
        <v>-6.9823509320196238E-4</v>
      </c>
      <c r="S20" s="81">
        <f t="shared" si="4"/>
        <v>-7.6089674186980024E-4</v>
      </c>
      <c r="T20" s="81">
        <f t="shared" si="5"/>
        <v>3.7376826367652058E-4</v>
      </c>
      <c r="U20" s="82">
        <f t="shared" si="6"/>
        <v>-4.1000000000000003E-3</v>
      </c>
      <c r="V20" s="84">
        <f t="shared" si="7"/>
        <v>-1.0999999999999899E-3</v>
      </c>
    </row>
    <row r="21" spans="1:22">
      <c r="A21" s="134">
        <v>16</v>
      </c>
      <c r="B21" s="121" t="s">
        <v>44</v>
      </c>
      <c r="C21" s="121" t="s">
        <v>45</v>
      </c>
      <c r="D21" s="4">
        <v>2567100908.71</v>
      </c>
      <c r="E21" s="3">
        <f t="shared" si="0"/>
        <v>0.11201297637197577</v>
      </c>
      <c r="F21" s="4">
        <v>1.2605999999999999</v>
      </c>
      <c r="G21" s="8">
        <v>1.2734000000000001</v>
      </c>
      <c r="H21" s="60">
        <v>3463</v>
      </c>
      <c r="I21" s="5">
        <v>3.0000000000000001E-3</v>
      </c>
      <c r="J21" s="5">
        <v>0.3805</v>
      </c>
      <c r="K21" s="4">
        <v>2579981740.7800002</v>
      </c>
      <c r="L21" s="3">
        <f t="shared" si="2"/>
        <v>0.1121592587765277</v>
      </c>
      <c r="M21" s="4">
        <v>1.2665999999999999</v>
      </c>
      <c r="N21" s="8">
        <v>1.2794000000000001</v>
      </c>
      <c r="O21" s="60">
        <v>3473</v>
      </c>
      <c r="P21" s="5">
        <v>4.7000000000000002E-3</v>
      </c>
      <c r="Q21" s="5">
        <v>0.38679999999999998</v>
      </c>
      <c r="R21" s="81">
        <f t="shared" si="3"/>
        <v>5.0176570879221687E-3</v>
      </c>
      <c r="S21" s="81">
        <f t="shared" si="4"/>
        <v>4.7117951939689064E-3</v>
      </c>
      <c r="T21" s="81">
        <f t="shared" si="5"/>
        <v>2.8876696505919725E-3</v>
      </c>
      <c r="U21" s="82">
        <f t="shared" si="6"/>
        <v>1.7000000000000001E-3</v>
      </c>
      <c r="V21" s="84">
        <f t="shared" si="7"/>
        <v>6.2999999999999723E-3</v>
      </c>
    </row>
    <row r="22" spans="1:22">
      <c r="A22" s="76"/>
      <c r="B22" s="19"/>
      <c r="C22" s="72" t="s">
        <v>46</v>
      </c>
      <c r="D22" s="58">
        <f>SUM(D6:D21)</f>
        <v>22917888550.564899</v>
      </c>
      <c r="E22" s="105">
        <f>(D22/$D$176)</f>
        <v>1.1324198386739042E-2</v>
      </c>
      <c r="F22" s="30"/>
      <c r="G22" s="31"/>
      <c r="H22" s="66">
        <f>SUM(H6:H21)</f>
        <v>61326</v>
      </c>
      <c r="I22" s="28"/>
      <c r="J22" s="60">
        <v>0</v>
      </c>
      <c r="K22" s="58">
        <f>SUM(K6:K21)</f>
        <v>23002842288.0406</v>
      </c>
      <c r="L22" s="105">
        <f>(K22/$K$176)</f>
        <v>1.0848444324189112E-2</v>
      </c>
      <c r="M22" s="30"/>
      <c r="N22" s="31"/>
      <c r="O22" s="66">
        <f>SUM(O6:O21)</f>
        <v>61375</v>
      </c>
      <c r="P22" s="28"/>
      <c r="Q22" s="66"/>
      <c r="R22" s="81">
        <f t="shared" si="3"/>
        <v>3.7068745355080439E-3</v>
      </c>
      <c r="S22" s="81" t="e">
        <f t="shared" si="4"/>
        <v>#DIV/0!</v>
      </c>
      <c r="T22" s="81">
        <f t="shared" si="5"/>
        <v>7.9900857711248088E-4</v>
      </c>
      <c r="U22" s="82">
        <f t="shared" si="6"/>
        <v>0</v>
      </c>
      <c r="V22" s="84">
        <f t="shared" si="7"/>
        <v>0</v>
      </c>
    </row>
    <row r="23" spans="1:22" ht="9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5" customHeight="1">
      <c r="A24" s="140" t="s">
        <v>47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</row>
    <row r="25" spans="1:22">
      <c r="A25" s="129">
        <v>17</v>
      </c>
      <c r="B25" s="120" t="s">
        <v>48</v>
      </c>
      <c r="C25" s="121" t="s">
        <v>17</v>
      </c>
      <c r="D25" s="9">
        <v>910714855.48000002</v>
      </c>
      <c r="E25" s="3">
        <f>(D25/$K$55)</f>
        <v>1.0477658768980646E-3</v>
      </c>
      <c r="F25" s="8">
        <v>100</v>
      </c>
      <c r="G25" s="8">
        <v>100</v>
      </c>
      <c r="H25" s="60">
        <v>741</v>
      </c>
      <c r="I25" s="5">
        <v>9.1200000000000003E-2</v>
      </c>
      <c r="J25" s="5">
        <v>9.1200000000000003E-2</v>
      </c>
      <c r="K25" s="9">
        <v>914995836.98000002</v>
      </c>
      <c r="L25" s="3">
        <f t="shared" ref="L25:L54" si="8">(K25/$K$55)</f>
        <v>1.0526910917535615E-3</v>
      </c>
      <c r="M25" s="8">
        <v>100</v>
      </c>
      <c r="N25" s="8">
        <v>100</v>
      </c>
      <c r="O25" s="60">
        <v>741</v>
      </c>
      <c r="P25" s="5">
        <v>9.7500000000000003E-2</v>
      </c>
      <c r="Q25" s="5">
        <v>9.7500000000000003E-2</v>
      </c>
      <c r="R25" s="81">
        <f t="shared" ref="R25" si="9">((K25-D25)/D25)</f>
        <v>4.7006826277624213E-3</v>
      </c>
      <c r="S25" s="81">
        <f t="shared" ref="S25" si="10">((N25-G25)/G25)</f>
        <v>0</v>
      </c>
      <c r="T25" s="81">
        <f t="shared" ref="T25" si="11">((O25-H25)/H25)</f>
        <v>0</v>
      </c>
      <c r="U25" s="82">
        <f t="shared" ref="U25" si="12">P25-I25</f>
        <v>6.3E-3</v>
      </c>
      <c r="V25" s="84">
        <f t="shared" ref="V25" si="13">Q25-J25</f>
        <v>6.3E-3</v>
      </c>
    </row>
    <row r="26" spans="1:22">
      <c r="A26" s="126">
        <v>18</v>
      </c>
      <c r="B26" s="120" t="s">
        <v>49</v>
      </c>
      <c r="C26" s="121" t="s">
        <v>50</v>
      </c>
      <c r="D26" s="9">
        <v>4318581137.4099998</v>
      </c>
      <c r="E26" s="3">
        <f t="shared" ref="E26:E54" si="14">(D26/$K$55)</f>
        <v>4.9684727608939275E-3</v>
      </c>
      <c r="F26" s="8">
        <v>100</v>
      </c>
      <c r="G26" s="8">
        <v>100</v>
      </c>
      <c r="H26" s="60">
        <v>1149</v>
      </c>
      <c r="I26" s="5">
        <v>0.13505200000000001</v>
      </c>
      <c r="J26" s="5">
        <v>0.13505200000000001</v>
      </c>
      <c r="K26" s="9">
        <v>4395917009.7700005</v>
      </c>
      <c r="L26" s="3">
        <f t="shared" si="8"/>
        <v>5.0574467000268795E-3</v>
      </c>
      <c r="M26" s="8">
        <v>100</v>
      </c>
      <c r="N26" s="8">
        <v>100</v>
      </c>
      <c r="O26" s="60">
        <v>1148</v>
      </c>
      <c r="P26" s="5">
        <v>0.130357</v>
      </c>
      <c r="Q26" s="5">
        <v>0.130357</v>
      </c>
      <c r="R26" s="81">
        <f t="shared" ref="R26:R55" si="15">((K26-D26)/D26)</f>
        <v>1.7907703919251027E-2</v>
      </c>
      <c r="S26" s="81">
        <f t="shared" ref="S26:S55" si="16">((N26-G26)/G26)</f>
        <v>0</v>
      </c>
      <c r="T26" s="81">
        <f t="shared" ref="T26:T55" si="17">((O26-H26)/H26)</f>
        <v>-8.703220191470844E-4</v>
      </c>
      <c r="U26" s="82">
        <f t="shared" ref="U26:U55" si="18">P26-I26</f>
        <v>-4.6950000000000047E-3</v>
      </c>
      <c r="V26" s="84">
        <f t="shared" ref="V26:V55" si="19">Q26-J26</f>
        <v>-4.6950000000000047E-3</v>
      </c>
    </row>
    <row r="27" spans="1:22">
      <c r="A27" s="126">
        <v>19</v>
      </c>
      <c r="B27" s="120" t="s">
        <v>51</v>
      </c>
      <c r="C27" s="121" t="s">
        <v>19</v>
      </c>
      <c r="D27" s="9">
        <v>390105124.33999997</v>
      </c>
      <c r="E27" s="3">
        <f t="shared" si="14"/>
        <v>4.4881099196641445E-4</v>
      </c>
      <c r="F27" s="8">
        <v>100</v>
      </c>
      <c r="G27" s="8">
        <v>100</v>
      </c>
      <c r="H27" s="60">
        <v>1330</v>
      </c>
      <c r="I27" s="5">
        <v>9.3600000000000003E-2</v>
      </c>
      <c r="J27" s="5">
        <v>9.3600000000000003E-2</v>
      </c>
      <c r="K27" s="9">
        <v>375434730.52999997</v>
      </c>
      <c r="L27" s="3">
        <f t="shared" si="8"/>
        <v>4.3193289017386918E-4</v>
      </c>
      <c r="M27" s="8">
        <v>100</v>
      </c>
      <c r="N27" s="8">
        <v>100</v>
      </c>
      <c r="O27" s="60">
        <v>1339</v>
      </c>
      <c r="P27" s="5">
        <v>9.4600000000000004E-2</v>
      </c>
      <c r="Q27" s="5">
        <v>9.4600000000000004E-2</v>
      </c>
      <c r="R27" s="81">
        <f t="shared" si="15"/>
        <v>-3.7606257633298543E-2</v>
      </c>
      <c r="S27" s="81">
        <f t="shared" si="16"/>
        <v>0</v>
      </c>
      <c r="T27" s="81">
        <f t="shared" si="17"/>
        <v>6.7669172932330827E-3</v>
      </c>
      <c r="U27" s="82">
        <f t="shared" si="18"/>
        <v>1.0000000000000009E-3</v>
      </c>
      <c r="V27" s="84">
        <f t="shared" si="19"/>
        <v>1.0000000000000009E-3</v>
      </c>
    </row>
    <row r="28" spans="1:22">
      <c r="A28" s="134">
        <v>20</v>
      </c>
      <c r="B28" s="120" t="s">
        <v>52</v>
      </c>
      <c r="C28" s="121" t="s">
        <v>21</v>
      </c>
      <c r="D28" s="9">
        <v>80193003934.940002</v>
      </c>
      <c r="E28" s="3">
        <f t="shared" si="14"/>
        <v>9.2261032729829648E-2</v>
      </c>
      <c r="F28" s="8">
        <v>1</v>
      </c>
      <c r="G28" s="8">
        <v>1</v>
      </c>
      <c r="H28" s="60">
        <v>54599</v>
      </c>
      <c r="I28" s="5">
        <v>0.1057</v>
      </c>
      <c r="J28" s="5">
        <v>0.1057</v>
      </c>
      <c r="K28" s="9">
        <v>80482149231.800003</v>
      </c>
      <c r="L28" s="3">
        <f t="shared" si="8"/>
        <v>9.2593690722276467E-2</v>
      </c>
      <c r="M28" s="8">
        <v>1</v>
      </c>
      <c r="N28" s="8">
        <v>1</v>
      </c>
      <c r="O28" s="60">
        <v>54852</v>
      </c>
      <c r="P28" s="5">
        <v>0.105</v>
      </c>
      <c r="Q28" s="5">
        <v>0.105</v>
      </c>
      <c r="R28" s="81">
        <f t="shared" si="15"/>
        <v>3.6056174812279396E-3</v>
      </c>
      <c r="S28" s="81">
        <f t="shared" si="16"/>
        <v>0</v>
      </c>
      <c r="T28" s="81">
        <f t="shared" si="17"/>
        <v>4.6337845015476473E-3</v>
      </c>
      <c r="U28" s="82">
        <f t="shared" si="18"/>
        <v>-7.0000000000000617E-4</v>
      </c>
      <c r="V28" s="84">
        <f t="shared" si="19"/>
        <v>-7.0000000000000617E-4</v>
      </c>
    </row>
    <row r="29" spans="1:22">
      <c r="A29" s="127">
        <v>21</v>
      </c>
      <c r="B29" s="120" t="s">
        <v>53</v>
      </c>
      <c r="C29" s="121" t="s">
        <v>23</v>
      </c>
      <c r="D29" s="9">
        <v>42324403506.089996</v>
      </c>
      <c r="E29" s="3">
        <f t="shared" si="14"/>
        <v>4.8693688795021284E-2</v>
      </c>
      <c r="F29" s="8">
        <v>1</v>
      </c>
      <c r="G29" s="8">
        <v>1</v>
      </c>
      <c r="H29" s="60">
        <v>26174</v>
      </c>
      <c r="I29" s="5">
        <v>9.3600000000000003E-2</v>
      </c>
      <c r="J29" s="5">
        <v>9.3600000000000003E-2</v>
      </c>
      <c r="K29" s="9">
        <v>42166990322.220001</v>
      </c>
      <c r="L29" s="3">
        <f t="shared" si="8"/>
        <v>4.851258692582433E-2</v>
      </c>
      <c r="M29" s="8">
        <v>1</v>
      </c>
      <c r="N29" s="8">
        <v>1</v>
      </c>
      <c r="O29" s="60">
        <v>26191</v>
      </c>
      <c r="P29" s="5">
        <v>0.113</v>
      </c>
      <c r="Q29" s="5">
        <v>0.113</v>
      </c>
      <c r="R29" s="81">
        <f t="shared" si="15"/>
        <v>-3.7192061985550527E-3</v>
      </c>
      <c r="S29" s="81">
        <f t="shared" si="16"/>
        <v>0</v>
      </c>
      <c r="T29" s="81">
        <f t="shared" si="17"/>
        <v>6.4949950332390924E-4</v>
      </c>
      <c r="U29" s="82">
        <f t="shared" si="18"/>
        <v>1.9400000000000001E-2</v>
      </c>
      <c r="V29" s="84">
        <f t="shared" si="19"/>
        <v>1.9400000000000001E-2</v>
      </c>
    </row>
    <row r="30" spans="1:22" ht="15" customHeight="1">
      <c r="A30" s="135">
        <v>22</v>
      </c>
      <c r="B30" s="120" t="s">
        <v>54</v>
      </c>
      <c r="C30" s="121" t="s">
        <v>40</v>
      </c>
      <c r="D30" s="9">
        <v>7274450620.6400003</v>
      </c>
      <c r="E30" s="3">
        <f t="shared" si="14"/>
        <v>8.3691630674777358E-3</v>
      </c>
      <c r="F30" s="8">
        <v>100</v>
      </c>
      <c r="G30" s="8">
        <v>100</v>
      </c>
      <c r="H30" s="60">
        <v>2705</v>
      </c>
      <c r="I30" s="5">
        <v>9.69E-2</v>
      </c>
      <c r="J30" s="5">
        <v>9.69E-2</v>
      </c>
      <c r="K30" s="9">
        <v>6987214061.2799997</v>
      </c>
      <c r="L30" s="3">
        <f t="shared" si="8"/>
        <v>8.0387010532873646E-3</v>
      </c>
      <c r="M30" s="8">
        <v>100</v>
      </c>
      <c r="N30" s="8">
        <v>100</v>
      </c>
      <c r="O30" s="60">
        <v>2705</v>
      </c>
      <c r="P30" s="5">
        <v>9.9199999999999997E-2</v>
      </c>
      <c r="Q30" s="5">
        <v>9.9199999999999997E-2</v>
      </c>
      <c r="R30" s="81">
        <f t="shared" si="15"/>
        <v>-3.9485670374202052E-2</v>
      </c>
      <c r="S30" s="81">
        <f t="shared" si="16"/>
        <v>0</v>
      </c>
      <c r="T30" s="81">
        <f t="shared" si="17"/>
        <v>0</v>
      </c>
      <c r="U30" s="82">
        <f t="shared" si="18"/>
        <v>2.2999999999999965E-3</v>
      </c>
      <c r="V30" s="84">
        <f t="shared" si="19"/>
        <v>2.2999999999999965E-3</v>
      </c>
    </row>
    <row r="31" spans="1:22">
      <c r="A31" s="132">
        <v>23</v>
      </c>
      <c r="B31" s="120" t="s">
        <v>55</v>
      </c>
      <c r="C31" s="121" t="s">
        <v>56</v>
      </c>
      <c r="D31" s="9">
        <v>12272107774.309999</v>
      </c>
      <c r="E31" s="3">
        <f t="shared" si="14"/>
        <v>1.4118904162116032E-2</v>
      </c>
      <c r="F31" s="8">
        <v>100</v>
      </c>
      <c r="G31" s="8">
        <v>100</v>
      </c>
      <c r="H31" s="60">
        <v>1754</v>
      </c>
      <c r="I31" s="5">
        <v>0.124302820321243</v>
      </c>
      <c r="J31" s="5">
        <v>0.124302820321243</v>
      </c>
      <c r="K31" s="9">
        <v>12407249048.26</v>
      </c>
      <c r="L31" s="3">
        <f t="shared" si="8"/>
        <v>1.4274382481760564E-2</v>
      </c>
      <c r="M31" s="8">
        <v>100</v>
      </c>
      <c r="N31" s="8">
        <v>100</v>
      </c>
      <c r="O31" s="60">
        <v>1827</v>
      </c>
      <c r="P31" s="5">
        <v>0.117725623538264</v>
      </c>
      <c r="Q31" s="5">
        <v>0.117725623538264</v>
      </c>
      <c r="R31" s="81">
        <f t="shared" si="15"/>
        <v>1.1012067073995289E-2</v>
      </c>
      <c r="S31" s="81">
        <f t="shared" si="16"/>
        <v>0</v>
      </c>
      <c r="T31" s="81">
        <f t="shared" si="17"/>
        <v>4.161915621436716E-2</v>
      </c>
      <c r="U31" s="82">
        <f t="shared" si="18"/>
        <v>-6.5771967829789946E-3</v>
      </c>
      <c r="V31" s="84">
        <f t="shared" si="19"/>
        <v>-6.5771967829789946E-3</v>
      </c>
    </row>
    <row r="32" spans="1:22">
      <c r="A32" s="135">
        <v>24</v>
      </c>
      <c r="B32" s="120" t="s">
        <v>57</v>
      </c>
      <c r="C32" s="121" t="s">
        <v>58</v>
      </c>
      <c r="D32" s="9">
        <v>5592178972.6499996</v>
      </c>
      <c r="E32" s="3">
        <f t="shared" si="14"/>
        <v>6.4337308980881329E-3</v>
      </c>
      <c r="F32" s="8">
        <v>100</v>
      </c>
      <c r="G32" s="8">
        <v>100</v>
      </c>
      <c r="H32" s="60">
        <v>5685</v>
      </c>
      <c r="I32" s="5">
        <v>9.4899999999999998E-2</v>
      </c>
      <c r="J32" s="5">
        <v>9.4899999999999998E-2</v>
      </c>
      <c r="K32" s="9">
        <v>5341336697.8400002</v>
      </c>
      <c r="L32" s="3">
        <f t="shared" si="8"/>
        <v>6.1451400461349373E-3</v>
      </c>
      <c r="M32" s="8">
        <v>100</v>
      </c>
      <c r="N32" s="8">
        <v>100</v>
      </c>
      <c r="O32" s="60">
        <v>5690</v>
      </c>
      <c r="P32" s="5">
        <v>0.1017</v>
      </c>
      <c r="Q32" s="5">
        <v>0.1017</v>
      </c>
      <c r="R32" s="81">
        <f t="shared" si="15"/>
        <v>-4.4855909661834614E-2</v>
      </c>
      <c r="S32" s="81">
        <f t="shared" si="16"/>
        <v>0</v>
      </c>
      <c r="T32" s="81">
        <f t="shared" si="17"/>
        <v>8.7950747581354446E-4</v>
      </c>
      <c r="U32" s="82">
        <f t="shared" si="18"/>
        <v>6.8000000000000005E-3</v>
      </c>
      <c r="V32" s="84">
        <f t="shared" si="19"/>
        <v>6.8000000000000005E-3</v>
      </c>
    </row>
    <row r="33" spans="1:22">
      <c r="A33" s="137">
        <v>25</v>
      </c>
      <c r="B33" s="120" t="s">
        <v>59</v>
      </c>
      <c r="C33" s="121" t="s">
        <v>60</v>
      </c>
      <c r="D33" s="9">
        <v>44514190.369999997</v>
      </c>
      <c r="E33" s="3">
        <f t="shared" si="14"/>
        <v>5.1213010775857155E-5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5.1213010775857155E-5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1">
        <f t="shared" si="15"/>
        <v>0</v>
      </c>
      <c r="S33" s="81">
        <f t="shared" si="16"/>
        <v>0</v>
      </c>
      <c r="T33" s="81" t="e">
        <f t="shared" si="17"/>
        <v>#DIV/0!</v>
      </c>
      <c r="U33" s="82">
        <f t="shared" si="18"/>
        <v>0</v>
      </c>
      <c r="V33" s="84">
        <f t="shared" si="19"/>
        <v>0</v>
      </c>
    </row>
    <row r="34" spans="1:22">
      <c r="A34" s="137">
        <v>26</v>
      </c>
      <c r="B34" s="120" t="s">
        <v>61</v>
      </c>
      <c r="C34" s="121" t="s">
        <v>62</v>
      </c>
      <c r="D34" s="9">
        <v>5273580971.7799997</v>
      </c>
      <c r="E34" s="3">
        <f t="shared" si="14"/>
        <v>6.0671879436706546E-3</v>
      </c>
      <c r="F34" s="8">
        <v>1</v>
      </c>
      <c r="G34" s="8">
        <v>1</v>
      </c>
      <c r="H34" s="60">
        <v>2050</v>
      </c>
      <c r="I34" s="5">
        <v>0.1007</v>
      </c>
      <c r="J34" s="5">
        <v>0.1007</v>
      </c>
      <c r="K34" s="9">
        <v>5257758656.5299997</v>
      </c>
      <c r="L34" s="3">
        <f t="shared" si="8"/>
        <v>6.0489845708885824E-3</v>
      </c>
      <c r="M34" s="8">
        <v>1</v>
      </c>
      <c r="N34" s="8">
        <v>1</v>
      </c>
      <c r="O34" s="60">
        <v>2033</v>
      </c>
      <c r="P34" s="5">
        <v>0.1066</v>
      </c>
      <c r="Q34" s="5">
        <v>0.1066</v>
      </c>
      <c r="R34" s="81">
        <f t="shared" si="15"/>
        <v>-3.0002981531275265E-3</v>
      </c>
      <c r="S34" s="81">
        <f t="shared" si="16"/>
        <v>0</v>
      </c>
      <c r="T34" s="81">
        <f t="shared" si="17"/>
        <v>-8.2926829268292687E-3</v>
      </c>
      <c r="U34" s="82">
        <f t="shared" si="18"/>
        <v>5.9000000000000025E-3</v>
      </c>
      <c r="V34" s="84">
        <f t="shared" si="19"/>
        <v>5.9000000000000025E-3</v>
      </c>
    </row>
    <row r="35" spans="1:22">
      <c r="A35" s="134">
        <v>27</v>
      </c>
      <c r="B35" s="120" t="s">
        <v>63</v>
      </c>
      <c r="C35" s="121" t="s">
        <v>64</v>
      </c>
      <c r="D35" s="9">
        <v>14411731574.940001</v>
      </c>
      <c r="E35" s="3">
        <f t="shared" si="14"/>
        <v>1.6580514175622937E-2</v>
      </c>
      <c r="F35" s="11">
        <v>100</v>
      </c>
      <c r="G35" s="11">
        <v>100</v>
      </c>
      <c r="H35" s="60">
        <v>2577</v>
      </c>
      <c r="I35" s="5">
        <v>0.1002</v>
      </c>
      <c r="J35" s="5">
        <v>0.1002</v>
      </c>
      <c r="K35" s="9">
        <v>14237275731.799999</v>
      </c>
      <c r="L35" s="3">
        <f t="shared" si="8"/>
        <v>1.6379804943344921E-2</v>
      </c>
      <c r="M35" s="11">
        <v>100</v>
      </c>
      <c r="N35" s="11">
        <v>100</v>
      </c>
      <c r="O35" s="60">
        <v>2611</v>
      </c>
      <c r="P35" s="5">
        <v>0.1019</v>
      </c>
      <c r="Q35" s="5">
        <v>0.1019</v>
      </c>
      <c r="R35" s="81">
        <f t="shared" si="15"/>
        <v>-1.2105127148173907E-2</v>
      </c>
      <c r="S35" s="81">
        <f t="shared" si="16"/>
        <v>0</v>
      </c>
      <c r="T35" s="81">
        <f t="shared" si="17"/>
        <v>1.3193636010865347E-2</v>
      </c>
      <c r="U35" s="82">
        <f t="shared" si="18"/>
        <v>1.7000000000000071E-3</v>
      </c>
      <c r="V35" s="84">
        <f t="shared" si="19"/>
        <v>1.7000000000000071E-3</v>
      </c>
    </row>
    <row r="36" spans="1:22">
      <c r="A36" s="134">
        <v>28</v>
      </c>
      <c r="B36" s="120" t="s">
        <v>65</v>
      </c>
      <c r="C36" s="121" t="s">
        <v>64</v>
      </c>
      <c r="D36" s="9">
        <v>1212921138.8699999</v>
      </c>
      <c r="E36" s="3">
        <f t="shared" si="14"/>
        <v>1.3954503684981711E-3</v>
      </c>
      <c r="F36" s="11">
        <v>1000000</v>
      </c>
      <c r="G36" s="11">
        <v>1000000</v>
      </c>
      <c r="H36" s="60">
        <v>9</v>
      </c>
      <c r="I36" s="5">
        <v>9.9599999999999994E-2</v>
      </c>
      <c r="J36" s="5">
        <v>9.9599999999999994E-2</v>
      </c>
      <c r="K36" s="9">
        <v>1315207204.51</v>
      </c>
      <c r="L36" s="3">
        <f t="shared" si="8"/>
        <v>1.5131291881801689E-3</v>
      </c>
      <c r="M36" s="11">
        <v>1000000</v>
      </c>
      <c r="N36" s="11">
        <v>1000000</v>
      </c>
      <c r="O36" s="60">
        <v>7</v>
      </c>
      <c r="P36" s="5">
        <v>9.11E-2</v>
      </c>
      <c r="Q36" s="5">
        <v>9.11E-2</v>
      </c>
      <c r="R36" s="81">
        <f t="shared" si="15"/>
        <v>8.4330351217469429E-2</v>
      </c>
      <c r="S36" s="81">
        <f t="shared" si="16"/>
        <v>0</v>
      </c>
      <c r="T36" s="81">
        <f t="shared" si="17"/>
        <v>-0.22222222222222221</v>
      </c>
      <c r="U36" s="82">
        <f t="shared" si="18"/>
        <v>-8.4999999999999937E-3</v>
      </c>
      <c r="V36" s="84">
        <f t="shared" si="19"/>
        <v>-8.4999999999999937E-3</v>
      </c>
    </row>
    <row r="37" spans="1:22">
      <c r="A37" s="131">
        <v>29</v>
      </c>
      <c r="B37" s="120" t="s">
        <v>66</v>
      </c>
      <c r="C37" s="121" t="s">
        <v>67</v>
      </c>
      <c r="D37" s="9">
        <v>2999573164.9299998</v>
      </c>
      <c r="E37" s="3">
        <f t="shared" si="14"/>
        <v>3.4509708374267358E-3</v>
      </c>
      <c r="F37" s="8">
        <v>1</v>
      </c>
      <c r="G37" s="8">
        <v>1</v>
      </c>
      <c r="H37" s="60">
        <v>416</v>
      </c>
      <c r="I37" s="5">
        <v>0.13100000000000001</v>
      </c>
      <c r="J37" s="5">
        <v>0.13100000000000001</v>
      </c>
      <c r="K37" s="9">
        <v>3414852094.4400001</v>
      </c>
      <c r="L37" s="3">
        <f t="shared" si="8"/>
        <v>3.9287439725821998E-3</v>
      </c>
      <c r="M37" s="8">
        <v>1</v>
      </c>
      <c r="N37" s="8">
        <v>1</v>
      </c>
      <c r="O37" s="60">
        <v>424</v>
      </c>
      <c r="P37" s="5">
        <v>0.1326</v>
      </c>
      <c r="Q37" s="5">
        <v>0.1326</v>
      </c>
      <c r="R37" s="81">
        <f t="shared" si="15"/>
        <v>0.13844600770713039</v>
      </c>
      <c r="S37" s="81">
        <f t="shared" si="16"/>
        <v>0</v>
      </c>
      <c r="T37" s="81">
        <f t="shared" si="17"/>
        <v>1.9230769230769232E-2</v>
      </c>
      <c r="U37" s="82">
        <f t="shared" si="18"/>
        <v>1.5999999999999903E-3</v>
      </c>
      <c r="V37" s="84">
        <f t="shared" si="19"/>
        <v>1.5999999999999903E-3</v>
      </c>
    </row>
    <row r="38" spans="1:22">
      <c r="A38" s="128">
        <v>30</v>
      </c>
      <c r="B38" s="120" t="s">
        <v>68</v>
      </c>
      <c r="C38" s="121" t="s">
        <v>27</v>
      </c>
      <c r="D38" s="9">
        <v>195344023186.59</v>
      </c>
      <c r="E38" s="3">
        <f t="shared" si="14"/>
        <v>0.22474081818179822</v>
      </c>
      <c r="F38" s="8">
        <v>100</v>
      </c>
      <c r="G38" s="8">
        <v>100</v>
      </c>
      <c r="H38" s="60">
        <v>14969</v>
      </c>
      <c r="I38" s="5">
        <v>0.108</v>
      </c>
      <c r="J38" s="5">
        <v>0.108</v>
      </c>
      <c r="K38" s="9">
        <v>194332771605.62</v>
      </c>
      <c r="L38" s="3">
        <f t="shared" si="8"/>
        <v>0.22357738607884747</v>
      </c>
      <c r="M38" s="8">
        <v>100</v>
      </c>
      <c r="N38" s="8">
        <v>100</v>
      </c>
      <c r="O38" s="60">
        <v>15033</v>
      </c>
      <c r="P38" s="5">
        <v>0.10920000000000001</v>
      </c>
      <c r="Q38" s="5">
        <v>0.10920000000000001</v>
      </c>
      <c r="R38" s="81">
        <f t="shared" si="15"/>
        <v>-5.1767725701239772E-3</v>
      </c>
      <c r="S38" s="81">
        <f t="shared" si="16"/>
        <v>0</v>
      </c>
      <c r="T38" s="81">
        <f t="shared" si="17"/>
        <v>4.2755027055915561E-3</v>
      </c>
      <c r="U38" s="82">
        <f t="shared" si="18"/>
        <v>1.2000000000000066E-3</v>
      </c>
      <c r="V38" s="84">
        <f t="shared" si="19"/>
        <v>1.2000000000000066E-3</v>
      </c>
    </row>
    <row r="39" spans="1:22">
      <c r="A39" s="126">
        <v>31</v>
      </c>
      <c r="B39" s="120" t="s">
        <v>69</v>
      </c>
      <c r="C39" s="121" t="s">
        <v>70</v>
      </c>
      <c r="D39" s="9">
        <v>231931650.16</v>
      </c>
      <c r="E39" s="3">
        <f t="shared" si="14"/>
        <v>2.668344184220285E-4</v>
      </c>
      <c r="F39" s="8">
        <v>1</v>
      </c>
      <c r="G39" s="8">
        <v>1</v>
      </c>
      <c r="H39" s="61">
        <v>435</v>
      </c>
      <c r="I39" s="12">
        <v>5.5800000000000002E-2</v>
      </c>
      <c r="J39" s="12">
        <v>5.5800000000000002E-2</v>
      </c>
      <c r="K39" s="9">
        <v>273538391.76999998</v>
      </c>
      <c r="L39" s="3">
        <f t="shared" si="8"/>
        <v>3.1470244631852764E-4</v>
      </c>
      <c r="M39" s="8">
        <v>1</v>
      </c>
      <c r="N39" s="8">
        <v>1</v>
      </c>
      <c r="O39" s="61">
        <v>435</v>
      </c>
      <c r="P39" s="12">
        <v>0.15840000000000001</v>
      </c>
      <c r="Q39" s="12">
        <v>0.15840000000000001</v>
      </c>
      <c r="R39" s="81">
        <f t="shared" si="15"/>
        <v>0.1793922544909124</v>
      </c>
      <c r="S39" s="81">
        <f t="shared" si="16"/>
        <v>0</v>
      </c>
      <c r="T39" s="81">
        <f t="shared" si="17"/>
        <v>0</v>
      </c>
      <c r="U39" s="82">
        <f t="shared" si="18"/>
        <v>0.10260000000000001</v>
      </c>
      <c r="V39" s="84">
        <f t="shared" si="19"/>
        <v>0.10260000000000001</v>
      </c>
    </row>
    <row r="40" spans="1:22">
      <c r="A40" s="131">
        <v>32</v>
      </c>
      <c r="B40" s="120" t="s">
        <v>71</v>
      </c>
      <c r="C40" s="121" t="s">
        <v>72</v>
      </c>
      <c r="D40" s="9">
        <v>658793077.01999998</v>
      </c>
      <c r="E40" s="3">
        <f t="shared" si="14"/>
        <v>7.5793306970316915E-4</v>
      </c>
      <c r="F40" s="8">
        <v>10</v>
      </c>
      <c r="G40" s="8">
        <v>10</v>
      </c>
      <c r="H40" s="60">
        <v>291</v>
      </c>
      <c r="I40" s="5">
        <v>9.6699999999999994E-2</v>
      </c>
      <c r="J40" s="5">
        <v>9.6699999999999994E-2</v>
      </c>
      <c r="K40" s="9">
        <v>688169730.02999997</v>
      </c>
      <c r="L40" s="3">
        <f t="shared" si="8"/>
        <v>7.9173053596403307E-4</v>
      </c>
      <c r="M40" s="8">
        <v>10</v>
      </c>
      <c r="N40" s="8">
        <v>10</v>
      </c>
      <c r="O40" s="60">
        <v>297</v>
      </c>
      <c r="P40" s="5">
        <v>0.1046</v>
      </c>
      <c r="Q40" s="5">
        <v>0.109</v>
      </c>
      <c r="R40" s="81">
        <f t="shared" si="15"/>
        <v>4.4591623735457317E-2</v>
      </c>
      <c r="S40" s="81">
        <f t="shared" si="16"/>
        <v>0</v>
      </c>
      <c r="T40" s="81">
        <f t="shared" si="17"/>
        <v>2.0618556701030927E-2</v>
      </c>
      <c r="U40" s="82">
        <f t="shared" si="18"/>
        <v>7.9000000000000042E-3</v>
      </c>
      <c r="V40" s="84">
        <f t="shared" si="19"/>
        <v>1.2300000000000005E-2</v>
      </c>
    </row>
    <row r="41" spans="1:22">
      <c r="A41" s="132">
        <v>33</v>
      </c>
      <c r="B41" s="120" t="s">
        <v>73</v>
      </c>
      <c r="C41" s="121" t="s">
        <v>74</v>
      </c>
      <c r="D41" s="9">
        <v>2900568914.9343548</v>
      </c>
      <c r="E41" s="3">
        <f t="shared" si="14"/>
        <v>3.3370677049708048E-3</v>
      </c>
      <c r="F41" s="8">
        <v>100</v>
      </c>
      <c r="G41" s="8">
        <v>100</v>
      </c>
      <c r="H41" s="60">
        <v>1242</v>
      </c>
      <c r="I41" s="5">
        <v>9.3787594817116807E-2</v>
      </c>
      <c r="J41" s="5">
        <v>9.3787594817116807E-2</v>
      </c>
      <c r="K41" s="9">
        <v>2912273395.3329883</v>
      </c>
      <c r="L41" s="3">
        <f t="shared" si="8"/>
        <v>3.3505335610449841E-3</v>
      </c>
      <c r="M41" s="8">
        <v>100</v>
      </c>
      <c r="N41" s="8">
        <v>100</v>
      </c>
      <c r="O41" s="60">
        <v>1242</v>
      </c>
      <c r="P41" s="5">
        <v>9.5399999999999999E-2</v>
      </c>
      <c r="Q41" s="5">
        <v>9.5399999999999999E-2</v>
      </c>
      <c r="R41" s="81">
        <f t="shared" si="15"/>
        <v>4.0352361008800146E-3</v>
      </c>
      <c r="S41" s="81">
        <f t="shared" si="16"/>
        <v>0</v>
      </c>
      <c r="T41" s="81">
        <f t="shared" si="17"/>
        <v>0</v>
      </c>
      <c r="U41" s="82">
        <f t="shared" si="18"/>
        <v>1.612405182883192E-3</v>
      </c>
      <c r="V41" s="84">
        <f t="shared" si="19"/>
        <v>1.612405182883192E-3</v>
      </c>
    </row>
    <row r="42" spans="1:22" ht="15.75" customHeight="1">
      <c r="A42" s="129">
        <v>34</v>
      </c>
      <c r="B42" s="120" t="s">
        <v>240</v>
      </c>
      <c r="C42" s="121" t="s">
        <v>32</v>
      </c>
      <c r="D42" s="9">
        <v>21411207347.147499</v>
      </c>
      <c r="E42" s="3">
        <f t="shared" si="14"/>
        <v>2.4633322171632183E-2</v>
      </c>
      <c r="F42" s="8">
        <v>1</v>
      </c>
      <c r="G42" s="8">
        <v>1</v>
      </c>
      <c r="H42" s="60">
        <v>10899</v>
      </c>
      <c r="I42" s="5">
        <v>0.1123</v>
      </c>
      <c r="J42" s="5">
        <v>8.9099999999999999E-2</v>
      </c>
      <c r="K42" s="9">
        <v>20807136817.915401</v>
      </c>
      <c r="L42" s="3">
        <f t="shared" si="8"/>
        <v>2.3938346698287611E-2</v>
      </c>
      <c r="M42" s="8">
        <v>1</v>
      </c>
      <c r="N42" s="8">
        <v>1</v>
      </c>
      <c r="O42" s="60">
        <v>10939</v>
      </c>
      <c r="P42" s="5">
        <v>0.11502832502052415</v>
      </c>
      <c r="Q42" s="5">
        <v>0.11502832502052415</v>
      </c>
      <c r="R42" s="81">
        <f t="shared" si="15"/>
        <v>-2.8212819549971558E-2</v>
      </c>
      <c r="S42" s="81">
        <f t="shared" si="16"/>
        <v>0</v>
      </c>
      <c r="T42" s="81">
        <f t="shared" si="17"/>
        <v>3.6700614735296817E-3</v>
      </c>
      <c r="U42" s="82">
        <f t="shared" si="18"/>
        <v>2.7283250205241555E-3</v>
      </c>
      <c r="V42" s="84">
        <f t="shared" si="19"/>
        <v>2.5928325020524154E-2</v>
      </c>
    </row>
    <row r="43" spans="1:22">
      <c r="A43" s="129">
        <v>35</v>
      </c>
      <c r="B43" s="120" t="s">
        <v>75</v>
      </c>
      <c r="C43" s="121" t="s">
        <v>34</v>
      </c>
      <c r="D43" s="9">
        <v>2933590344.9099998</v>
      </c>
      <c r="E43" s="3">
        <f t="shared" si="14"/>
        <v>3.3750584408489678E-3</v>
      </c>
      <c r="F43" s="8">
        <v>1</v>
      </c>
      <c r="G43" s="8">
        <v>1</v>
      </c>
      <c r="H43" s="60">
        <v>822</v>
      </c>
      <c r="I43" s="5">
        <v>7.8E-2</v>
      </c>
      <c r="J43" s="5">
        <v>7.8E-2</v>
      </c>
      <c r="K43" s="9">
        <v>2930004548.5500002</v>
      </c>
      <c r="L43" s="3">
        <f t="shared" si="8"/>
        <v>3.3709330276695234E-3</v>
      </c>
      <c r="M43" s="8">
        <v>1</v>
      </c>
      <c r="N43" s="8">
        <v>1</v>
      </c>
      <c r="O43" s="60">
        <v>821</v>
      </c>
      <c r="P43" s="5">
        <v>7.8E-2</v>
      </c>
      <c r="Q43" s="5">
        <v>7.8E-2</v>
      </c>
      <c r="R43" s="81">
        <f t="shared" si="15"/>
        <v>-1.2223234802436827E-3</v>
      </c>
      <c r="S43" s="81">
        <f t="shared" si="16"/>
        <v>0</v>
      </c>
      <c r="T43" s="81">
        <f t="shared" si="17"/>
        <v>-1.2165450121654502E-3</v>
      </c>
      <c r="U43" s="82">
        <f t="shared" si="18"/>
        <v>0</v>
      </c>
      <c r="V43" s="84">
        <f t="shared" si="19"/>
        <v>0</v>
      </c>
    </row>
    <row r="44" spans="1:22">
      <c r="A44" s="131">
        <v>36</v>
      </c>
      <c r="B44" s="120" t="s">
        <v>76</v>
      </c>
      <c r="C44" s="121" t="s">
        <v>36</v>
      </c>
      <c r="D44" s="13">
        <v>3424245400.2600002</v>
      </c>
      <c r="E44" s="3">
        <f t="shared" si="14"/>
        <v>3.9395508516511446E-3</v>
      </c>
      <c r="F44" s="8">
        <v>10</v>
      </c>
      <c r="G44" s="8">
        <v>10</v>
      </c>
      <c r="H44" s="60">
        <v>1873</v>
      </c>
      <c r="I44" s="5">
        <v>0.1158</v>
      </c>
      <c r="J44" s="5">
        <v>0.1158</v>
      </c>
      <c r="K44" s="13">
        <v>3485691817.3000002</v>
      </c>
      <c r="L44" s="3">
        <f t="shared" si="8"/>
        <v>4.0102441742040388E-3</v>
      </c>
      <c r="M44" s="8">
        <v>10</v>
      </c>
      <c r="N44" s="8">
        <v>10</v>
      </c>
      <c r="O44" s="60">
        <v>1886</v>
      </c>
      <c r="P44" s="5">
        <v>0.12479999999999999</v>
      </c>
      <c r="Q44" s="5">
        <v>0.12479999999999999</v>
      </c>
      <c r="R44" s="81">
        <f t="shared" si="15"/>
        <v>1.7944513274467531E-2</v>
      </c>
      <c r="S44" s="81">
        <f t="shared" si="16"/>
        <v>0</v>
      </c>
      <c r="T44" s="81">
        <f t="shared" si="17"/>
        <v>6.9407367859049655E-3</v>
      </c>
      <c r="U44" s="82">
        <f t="shared" si="18"/>
        <v>8.9999999999999941E-3</v>
      </c>
      <c r="V44" s="84">
        <f t="shared" si="19"/>
        <v>8.9999999999999941E-3</v>
      </c>
    </row>
    <row r="45" spans="1:22">
      <c r="A45" s="129">
        <v>37</v>
      </c>
      <c r="B45" s="120" t="s">
        <v>77</v>
      </c>
      <c r="C45" s="121" t="s">
        <v>78</v>
      </c>
      <c r="D45" s="9">
        <v>4946346531.96</v>
      </c>
      <c r="E45" s="3">
        <f t="shared" si="14"/>
        <v>5.69070887590741E-3</v>
      </c>
      <c r="F45" s="8">
        <v>100</v>
      </c>
      <c r="G45" s="8">
        <v>100</v>
      </c>
      <c r="H45" s="60">
        <v>1940</v>
      </c>
      <c r="I45" s="5">
        <v>0.1147</v>
      </c>
      <c r="J45" s="5">
        <v>0.1147</v>
      </c>
      <c r="K45" s="9">
        <v>4920744980.3699999</v>
      </c>
      <c r="L45" s="3">
        <f t="shared" si="8"/>
        <v>5.6612546158937094E-3</v>
      </c>
      <c r="M45" s="8">
        <v>100</v>
      </c>
      <c r="N45" s="8">
        <v>100</v>
      </c>
      <c r="O45" s="60">
        <v>1952</v>
      </c>
      <c r="P45" s="5">
        <v>0.11899999999999999</v>
      </c>
      <c r="Q45" s="5">
        <v>0.11899999999999999</v>
      </c>
      <c r="R45" s="81">
        <f t="shared" si="15"/>
        <v>-5.1758507869555763E-3</v>
      </c>
      <c r="S45" s="81">
        <f t="shared" si="16"/>
        <v>0</v>
      </c>
      <c r="T45" s="81">
        <f t="shared" si="17"/>
        <v>6.1855670103092781E-3</v>
      </c>
      <c r="U45" s="82">
        <f t="shared" si="18"/>
        <v>4.2999999999999983E-3</v>
      </c>
      <c r="V45" s="84">
        <f t="shared" si="19"/>
        <v>4.2999999999999983E-3</v>
      </c>
    </row>
    <row r="46" spans="1:22">
      <c r="A46" s="131">
        <v>38</v>
      </c>
      <c r="B46" s="120" t="s">
        <v>79</v>
      </c>
      <c r="C46" s="121" t="s">
        <v>80</v>
      </c>
      <c r="D46" s="9">
        <v>182465853.99000001</v>
      </c>
      <c r="E46" s="3">
        <f t="shared" si="14"/>
        <v>2.0992464804916655E-4</v>
      </c>
      <c r="F46" s="8">
        <v>1</v>
      </c>
      <c r="G46" s="8">
        <v>1</v>
      </c>
      <c r="H46" s="60">
        <v>61</v>
      </c>
      <c r="I46" s="5">
        <v>7.3300000000000004E-2</v>
      </c>
      <c r="J46" s="5">
        <v>7.3300000000000004E-2</v>
      </c>
      <c r="K46" s="9">
        <v>183645844.96000001</v>
      </c>
      <c r="L46" s="3">
        <f t="shared" si="8"/>
        <v>2.1128221267652976E-4</v>
      </c>
      <c r="M46" s="8">
        <v>1</v>
      </c>
      <c r="N46" s="8">
        <v>1</v>
      </c>
      <c r="O46" s="60">
        <v>61</v>
      </c>
      <c r="P46" s="5">
        <v>7.2800000000000004E-2</v>
      </c>
      <c r="Q46" s="5">
        <v>7.2800000000000004E-2</v>
      </c>
      <c r="R46" s="81">
        <f t="shared" si="15"/>
        <v>6.4669139140119221E-3</v>
      </c>
      <c r="S46" s="81">
        <f t="shared" si="16"/>
        <v>0</v>
      </c>
      <c r="T46" s="81">
        <f t="shared" si="17"/>
        <v>0</v>
      </c>
      <c r="U46" s="82">
        <f t="shared" si="18"/>
        <v>-5.0000000000000044E-4</v>
      </c>
      <c r="V46" s="84">
        <f t="shared" si="19"/>
        <v>-5.0000000000000044E-4</v>
      </c>
    </row>
    <row r="47" spans="1:22">
      <c r="A47" s="132">
        <v>39</v>
      </c>
      <c r="B47" s="120" t="s">
        <v>81</v>
      </c>
      <c r="C47" s="121" t="s">
        <v>38</v>
      </c>
      <c r="D47" s="13">
        <v>740748879.13</v>
      </c>
      <c r="E47" s="3">
        <f t="shared" si="14"/>
        <v>8.5222217934925E-4</v>
      </c>
      <c r="F47" s="8">
        <v>10</v>
      </c>
      <c r="G47" s="8">
        <v>10</v>
      </c>
      <c r="H47" s="60">
        <v>634</v>
      </c>
      <c r="I47" s="5">
        <v>9.7699999999999995E-2</v>
      </c>
      <c r="J47" s="5">
        <v>9.7699999999999995E-2</v>
      </c>
      <c r="K47" s="13">
        <v>621333368.08000004</v>
      </c>
      <c r="L47" s="3">
        <f t="shared" si="8"/>
        <v>7.1483615023414527E-4</v>
      </c>
      <c r="M47" s="8">
        <v>10</v>
      </c>
      <c r="N47" s="8">
        <v>10</v>
      </c>
      <c r="O47" s="60">
        <v>634</v>
      </c>
      <c r="P47" s="5">
        <v>8.8800000000000004E-2</v>
      </c>
      <c r="Q47" s="5">
        <v>8.8800000000000004E-2</v>
      </c>
      <c r="R47" s="81">
        <f t="shared" si="15"/>
        <v>-0.16120916874049399</v>
      </c>
      <c r="S47" s="81">
        <f t="shared" si="16"/>
        <v>0</v>
      </c>
      <c r="T47" s="81">
        <f t="shared" si="17"/>
        <v>0</v>
      </c>
      <c r="U47" s="82">
        <f t="shared" si="18"/>
        <v>-8.8999999999999913E-3</v>
      </c>
      <c r="V47" s="84">
        <f t="shared" si="19"/>
        <v>-8.8999999999999913E-3</v>
      </c>
    </row>
    <row r="48" spans="1:22">
      <c r="A48" s="126">
        <v>40</v>
      </c>
      <c r="B48" s="120" t="s">
        <v>249</v>
      </c>
      <c r="C48" s="121" t="s">
        <v>250</v>
      </c>
      <c r="D48" s="13">
        <v>577790509.95000005</v>
      </c>
      <c r="E48" s="3">
        <f t="shared" si="14"/>
        <v>6.6474064486635198E-4</v>
      </c>
      <c r="F48" s="8">
        <v>0</v>
      </c>
      <c r="G48" s="8">
        <v>0</v>
      </c>
      <c r="H48" s="60">
        <v>0</v>
      </c>
      <c r="I48" s="5">
        <v>0</v>
      </c>
      <c r="J48" s="5">
        <v>0</v>
      </c>
      <c r="K48" s="13">
        <v>577639710.38999999</v>
      </c>
      <c r="L48" s="3">
        <f t="shared" si="8"/>
        <v>6.64567151887437E-4</v>
      </c>
      <c r="M48" s="8">
        <v>1</v>
      </c>
      <c r="N48" s="8">
        <v>1</v>
      </c>
      <c r="O48" s="60">
        <v>23</v>
      </c>
      <c r="P48" s="5">
        <v>8.0199999999999994E-2</v>
      </c>
      <c r="Q48" s="5">
        <v>8.0199999999999994E-2</v>
      </c>
      <c r="R48" s="81">
        <f t="shared" si="15"/>
        <v>-2.6099348709121518E-4</v>
      </c>
      <c r="S48" s="81" t="e">
        <f t="shared" si="16"/>
        <v>#DIV/0!</v>
      </c>
      <c r="T48" s="81" t="e">
        <f t="shared" si="17"/>
        <v>#DIV/0!</v>
      </c>
      <c r="U48" s="82">
        <f t="shared" si="18"/>
        <v>8.0199999999999994E-2</v>
      </c>
      <c r="V48" s="84">
        <f t="shared" si="19"/>
        <v>8.0199999999999994E-2</v>
      </c>
    </row>
    <row r="49" spans="1:22">
      <c r="A49" s="134">
        <v>41</v>
      </c>
      <c r="B49" s="120" t="s">
        <v>82</v>
      </c>
      <c r="C49" s="121" t="s">
        <v>42</v>
      </c>
      <c r="D49" s="9">
        <v>383076054721.95001</v>
      </c>
      <c r="E49" s="3">
        <f t="shared" si="14"/>
        <v>0.44072413662654852</v>
      </c>
      <c r="F49" s="8">
        <v>100</v>
      </c>
      <c r="G49" s="8">
        <v>100</v>
      </c>
      <c r="H49" s="60">
        <v>130578</v>
      </c>
      <c r="I49" s="5">
        <v>0.1079</v>
      </c>
      <c r="J49" s="5">
        <v>0.1079</v>
      </c>
      <c r="K49" s="9">
        <v>385683613101.01001</v>
      </c>
      <c r="L49" s="3">
        <f t="shared" si="8"/>
        <v>0.44372409943066765</v>
      </c>
      <c r="M49" s="8">
        <v>100</v>
      </c>
      <c r="N49" s="8">
        <v>100</v>
      </c>
      <c r="O49" s="60">
        <v>131821</v>
      </c>
      <c r="P49" s="5">
        <v>0.1099</v>
      </c>
      <c r="Q49" s="5">
        <v>0.1099</v>
      </c>
      <c r="R49" s="81">
        <f t="shared" si="15"/>
        <v>6.8068947325685874E-3</v>
      </c>
      <c r="S49" s="81">
        <f t="shared" si="16"/>
        <v>0</v>
      </c>
      <c r="T49" s="81">
        <f t="shared" si="17"/>
        <v>9.5192145690698275E-3</v>
      </c>
      <c r="U49" s="82">
        <f t="shared" si="18"/>
        <v>2.0000000000000018E-3</v>
      </c>
      <c r="V49" s="84">
        <f t="shared" si="19"/>
        <v>2.0000000000000018E-3</v>
      </c>
    </row>
    <row r="50" spans="1:22">
      <c r="A50" s="131">
        <v>42</v>
      </c>
      <c r="B50" s="120" t="s">
        <v>83</v>
      </c>
      <c r="C50" s="121" t="s">
        <v>84</v>
      </c>
      <c r="D50" s="9">
        <v>2481925982.54</v>
      </c>
      <c r="E50" s="3">
        <f t="shared" si="14"/>
        <v>2.8554243272132743E-3</v>
      </c>
      <c r="F50" s="8">
        <v>1</v>
      </c>
      <c r="G50" s="8">
        <v>1</v>
      </c>
      <c r="H50" s="60">
        <v>317</v>
      </c>
      <c r="I50" s="5">
        <v>0.13990669242059736</v>
      </c>
      <c r="J50" s="5">
        <v>0.13990669242059736</v>
      </c>
      <c r="K50" s="9">
        <v>2664307803.8200002</v>
      </c>
      <c r="L50" s="3">
        <f t="shared" si="8"/>
        <v>3.0652522966966404E-3</v>
      </c>
      <c r="M50" s="8">
        <v>1</v>
      </c>
      <c r="N50" s="8">
        <v>1</v>
      </c>
      <c r="O50" s="60">
        <v>322</v>
      </c>
      <c r="P50" s="5">
        <v>0.13339999999999999</v>
      </c>
      <c r="Q50" s="5">
        <v>0.13339999999999999</v>
      </c>
      <c r="R50" s="81">
        <f t="shared" si="15"/>
        <v>7.3483988871155162E-2</v>
      </c>
      <c r="S50" s="81">
        <f t="shared" si="16"/>
        <v>0</v>
      </c>
      <c r="T50" s="81">
        <f t="shared" si="17"/>
        <v>1.5772870662460567E-2</v>
      </c>
      <c r="U50" s="82">
        <f t="shared" si="18"/>
        <v>-6.5066924205973709E-3</v>
      </c>
      <c r="V50" s="84">
        <f t="shared" si="19"/>
        <v>-6.5066924205973709E-3</v>
      </c>
    </row>
    <row r="51" spans="1:22">
      <c r="A51" s="134">
        <v>43</v>
      </c>
      <c r="B51" s="120" t="s">
        <v>85</v>
      </c>
      <c r="C51" s="121" t="s">
        <v>45</v>
      </c>
      <c r="D51" s="9">
        <v>45359285246.900002</v>
      </c>
      <c r="E51" s="3">
        <f t="shared" si="14"/>
        <v>5.2185281700646784E-2</v>
      </c>
      <c r="F51" s="8">
        <v>1</v>
      </c>
      <c r="G51" s="8">
        <v>1</v>
      </c>
      <c r="H51" s="60">
        <v>18694</v>
      </c>
      <c r="I51" s="5">
        <v>0.1042</v>
      </c>
      <c r="J51" s="5">
        <v>0.1042</v>
      </c>
      <c r="K51" s="9">
        <v>44174349992.699997</v>
      </c>
      <c r="L51" s="3">
        <f t="shared" si="8"/>
        <v>5.0822028737094391E-2</v>
      </c>
      <c r="M51" s="8">
        <v>1</v>
      </c>
      <c r="N51" s="8">
        <v>1</v>
      </c>
      <c r="O51" s="60">
        <v>18813</v>
      </c>
      <c r="P51" s="5">
        <v>0.1056</v>
      </c>
      <c r="Q51" s="5">
        <v>0.1056</v>
      </c>
      <c r="R51" s="81">
        <f t="shared" si="15"/>
        <v>-2.6123322881966858E-2</v>
      </c>
      <c r="S51" s="81">
        <f t="shared" si="16"/>
        <v>0</v>
      </c>
      <c r="T51" s="81">
        <f t="shared" si="17"/>
        <v>6.3656788274312611E-3</v>
      </c>
      <c r="U51" s="82">
        <f t="shared" si="18"/>
        <v>1.3999999999999985E-3</v>
      </c>
      <c r="V51" s="84">
        <f t="shared" si="19"/>
        <v>1.3999999999999985E-3</v>
      </c>
    </row>
    <row r="52" spans="1:22">
      <c r="A52" s="131">
        <v>44</v>
      </c>
      <c r="B52" s="120" t="s">
        <v>86</v>
      </c>
      <c r="C52" s="121" t="s">
        <v>87</v>
      </c>
      <c r="D52" s="9">
        <v>1863033752.1300001</v>
      </c>
      <c r="E52" s="3">
        <f t="shared" si="14"/>
        <v>2.1433966748706989E-3</v>
      </c>
      <c r="F52" s="8">
        <v>1</v>
      </c>
      <c r="G52" s="8">
        <v>1</v>
      </c>
      <c r="H52" s="60">
        <v>56</v>
      </c>
      <c r="I52" s="5">
        <v>8.3199999999999996E-2</v>
      </c>
      <c r="J52" s="5">
        <v>8.3199999999999996E-2</v>
      </c>
      <c r="K52" s="9">
        <v>1802595709.3200002</v>
      </c>
      <c r="L52" s="3">
        <f t="shared" si="8"/>
        <v>2.0738634740650017E-3</v>
      </c>
      <c r="M52" s="8">
        <v>1</v>
      </c>
      <c r="N52" s="8">
        <v>1</v>
      </c>
      <c r="O52" s="60">
        <v>55</v>
      </c>
      <c r="P52" s="5">
        <v>9.1200000000000003E-2</v>
      </c>
      <c r="Q52" s="5">
        <v>9.1200000000000003E-2</v>
      </c>
      <c r="R52" s="81">
        <f t="shared" si="15"/>
        <v>-3.2440659081404907E-2</v>
      </c>
      <c r="S52" s="81">
        <f t="shared" si="16"/>
        <v>0</v>
      </c>
      <c r="T52" s="81">
        <f t="shared" si="17"/>
        <v>-1.7857142857142856E-2</v>
      </c>
      <c r="U52" s="82">
        <f t="shared" si="18"/>
        <v>8.0000000000000071E-3</v>
      </c>
      <c r="V52" s="84">
        <f t="shared" si="19"/>
        <v>8.0000000000000071E-3</v>
      </c>
    </row>
    <row r="53" spans="1:22">
      <c r="A53" s="131">
        <v>45</v>
      </c>
      <c r="B53" s="120" t="s">
        <v>88</v>
      </c>
      <c r="C53" s="121" t="s">
        <v>89</v>
      </c>
      <c r="D53" s="9">
        <v>946224860.39999998</v>
      </c>
      <c r="E53" s="3">
        <f t="shared" si="14"/>
        <v>1.0886196866495795E-3</v>
      </c>
      <c r="F53" s="8">
        <v>1</v>
      </c>
      <c r="G53" s="8">
        <v>1</v>
      </c>
      <c r="H53" s="60">
        <v>209</v>
      </c>
      <c r="I53" s="5">
        <v>9.9299999999999999E-2</v>
      </c>
      <c r="J53" s="5">
        <v>9.9299999999999999E-2</v>
      </c>
      <c r="K53" s="9">
        <v>937966540.12</v>
      </c>
      <c r="L53" s="3">
        <f t="shared" si="8"/>
        <v>1.0791185940322654E-3</v>
      </c>
      <c r="M53" s="8">
        <v>1</v>
      </c>
      <c r="N53" s="8">
        <v>1</v>
      </c>
      <c r="O53" s="60">
        <v>209</v>
      </c>
      <c r="P53" s="5">
        <v>0.1024</v>
      </c>
      <c r="Q53" s="5">
        <v>0.1024</v>
      </c>
      <c r="R53" s="81">
        <f t="shared" si="15"/>
        <v>-8.7276509269782997E-3</v>
      </c>
      <c r="S53" s="81">
        <f t="shared" si="16"/>
        <v>0</v>
      </c>
      <c r="T53" s="81">
        <f t="shared" si="17"/>
        <v>0</v>
      </c>
      <c r="U53" s="82">
        <f t="shared" si="18"/>
        <v>3.1000000000000055E-3</v>
      </c>
      <c r="V53" s="84">
        <f t="shared" si="19"/>
        <v>3.1000000000000055E-3</v>
      </c>
    </row>
    <row r="54" spans="1:22">
      <c r="A54" s="128">
        <v>46</v>
      </c>
      <c r="B54" s="120" t="s">
        <v>90</v>
      </c>
      <c r="C54" s="121" t="s">
        <v>91</v>
      </c>
      <c r="D54" s="9">
        <v>25054582740.619999</v>
      </c>
      <c r="E54" s="3">
        <f t="shared" si="14"/>
        <v>2.8824979297943743E-2</v>
      </c>
      <c r="F54" s="8">
        <v>1</v>
      </c>
      <c r="G54" s="8">
        <v>1</v>
      </c>
      <c r="H54" s="60">
        <v>3048</v>
      </c>
      <c r="I54" s="5">
        <v>0.1103</v>
      </c>
      <c r="J54" s="5">
        <v>0.1103</v>
      </c>
      <c r="K54" s="9">
        <v>24860225027.880001</v>
      </c>
      <c r="L54" s="3">
        <f t="shared" si="8"/>
        <v>2.8601373217406498E-2</v>
      </c>
      <c r="M54" s="8">
        <v>1</v>
      </c>
      <c r="N54" s="8">
        <v>1</v>
      </c>
      <c r="O54" s="60">
        <v>3056</v>
      </c>
      <c r="P54" s="5">
        <v>0.1125</v>
      </c>
      <c r="Q54" s="5">
        <v>0.1125</v>
      </c>
      <c r="R54" s="81">
        <f t="shared" si="15"/>
        <v>-7.7573717651618851E-3</v>
      </c>
      <c r="S54" s="81">
        <f t="shared" si="16"/>
        <v>0</v>
      </c>
      <c r="T54" s="81">
        <f t="shared" si="17"/>
        <v>2.6246719160104987E-3</v>
      </c>
      <c r="U54" s="82">
        <f t="shared" si="18"/>
        <v>2.2000000000000075E-3</v>
      </c>
      <c r="V54" s="84">
        <f t="shared" si="19"/>
        <v>2.2000000000000075E-3</v>
      </c>
    </row>
    <row r="55" spans="1:22">
      <c r="A55" s="76"/>
      <c r="B55" s="19"/>
      <c r="C55" s="72" t="s">
        <v>46</v>
      </c>
      <c r="D55" s="59">
        <f>SUM(D25:D54)</f>
        <v>869350685967.34192</v>
      </c>
      <c r="E55" s="105">
        <f>(D55/$D$176)</f>
        <v>0.42956398944959495</v>
      </c>
      <c r="F55" s="30"/>
      <c r="G55" s="11"/>
      <c r="H55" s="66">
        <f>SUM(H25:H54)</f>
        <v>285257</v>
      </c>
      <c r="I55" s="32"/>
      <c r="J55" s="32"/>
      <c r="K55" s="59">
        <f>SUM(K25:K54)</f>
        <v>869196903201.49829</v>
      </c>
      <c r="L55" s="105">
        <f>(K55/$K$176)</f>
        <v>0.40992474291064029</v>
      </c>
      <c r="M55" s="30"/>
      <c r="N55" s="11"/>
      <c r="O55" s="66">
        <f>SUM(O25:O54)</f>
        <v>287167</v>
      </c>
      <c r="P55" s="32"/>
      <c r="Q55" s="32"/>
      <c r="R55" s="81">
        <f t="shared" si="15"/>
        <v>-1.7689382239632228E-4</v>
      </c>
      <c r="S55" s="81" t="e">
        <f t="shared" si="16"/>
        <v>#DIV/0!</v>
      </c>
      <c r="T55" s="81">
        <f t="shared" si="17"/>
        <v>6.6957164942490453E-3</v>
      </c>
      <c r="U55" s="82">
        <f t="shared" si="18"/>
        <v>0</v>
      </c>
      <c r="V55" s="84">
        <f t="shared" si="19"/>
        <v>0</v>
      </c>
    </row>
    <row r="56" spans="1:22" ht="9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ht="15" customHeight="1">
      <c r="A57" s="140" t="s">
        <v>92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22">
      <c r="A58" s="126">
        <v>47</v>
      </c>
      <c r="B58" s="120" t="s">
        <v>93</v>
      </c>
      <c r="C58" s="121" t="s">
        <v>19</v>
      </c>
      <c r="D58" s="2">
        <v>470216623.68000001</v>
      </c>
      <c r="E58" s="3">
        <f>(D58/$D$89)</f>
        <v>1.6082203162235682E-3</v>
      </c>
      <c r="F58" s="14">
        <v>1.2144999999999999</v>
      </c>
      <c r="G58" s="14">
        <v>1.2144999999999999</v>
      </c>
      <c r="H58" s="60">
        <v>393</v>
      </c>
      <c r="I58" s="5">
        <v>3.5530000000000002E-3</v>
      </c>
      <c r="J58" s="5">
        <v>-1.3599999999999999E-2</v>
      </c>
      <c r="K58" s="2">
        <v>479041583.88</v>
      </c>
      <c r="L58" s="3">
        <f t="shared" ref="L58:L88" si="20">(K58/$K$89)</f>
        <v>1.6408448244492923E-3</v>
      </c>
      <c r="M58" s="14">
        <v>1.2379</v>
      </c>
      <c r="N58" s="14">
        <v>1.2379</v>
      </c>
      <c r="O58" s="60">
        <v>394</v>
      </c>
      <c r="P58" s="5">
        <v>3.2299999999999999E-4</v>
      </c>
      <c r="Q58" s="5">
        <v>5.4000000000000003E-3</v>
      </c>
      <c r="R58" s="81">
        <f t="shared" ref="R58" si="21">((K58-D58)/D58)</f>
        <v>1.8767860929573821E-2</v>
      </c>
      <c r="S58" s="81">
        <f t="shared" ref="S58" si="22">((N58-G58)/G58)</f>
        <v>1.9267188143268908E-2</v>
      </c>
      <c r="T58" s="81">
        <f t="shared" ref="T58" si="23">((O58-H58)/H58)</f>
        <v>2.5445292620865142E-3</v>
      </c>
      <c r="U58" s="82">
        <f t="shared" ref="U58" si="24">P58-I58</f>
        <v>-3.2300000000000002E-3</v>
      </c>
      <c r="V58" s="84">
        <f t="shared" ref="V58" si="25">Q58-J58</f>
        <v>1.9E-2</v>
      </c>
    </row>
    <row r="59" spans="1:22">
      <c r="A59" s="134">
        <v>48</v>
      </c>
      <c r="B59" s="120" t="s">
        <v>94</v>
      </c>
      <c r="C59" s="121" t="s">
        <v>21</v>
      </c>
      <c r="D59" s="2">
        <v>1084898431.01</v>
      </c>
      <c r="E59" s="3">
        <f>(D59/$D$89)</f>
        <v>3.710535974110364E-3</v>
      </c>
      <c r="F59" s="14">
        <v>1.1444000000000001</v>
      </c>
      <c r="G59" s="14">
        <v>1.1444000000000001</v>
      </c>
      <c r="H59" s="60">
        <v>554</v>
      </c>
      <c r="I59" s="5">
        <v>-0.1545</v>
      </c>
      <c r="J59" s="5">
        <v>3.6999999999999998E-2</v>
      </c>
      <c r="K59" s="2">
        <v>1185152975.6500001</v>
      </c>
      <c r="L59" s="3">
        <f t="shared" si="20"/>
        <v>4.0594641294504326E-3</v>
      </c>
      <c r="M59" s="14">
        <v>1.1449</v>
      </c>
      <c r="N59" s="14">
        <v>1.1449</v>
      </c>
      <c r="O59" s="60">
        <v>555</v>
      </c>
      <c r="P59" s="5">
        <v>2.2800000000000001E-2</v>
      </c>
      <c r="Q59" s="5">
        <v>3.6700000000000003E-2</v>
      </c>
      <c r="R59" s="81">
        <f t="shared" ref="R59:R89" si="26">((K59-D59)/D59)</f>
        <v>9.2409152575386122E-2</v>
      </c>
      <c r="S59" s="81">
        <f t="shared" ref="S59:S89" si="27">((N59-G59)/G59)</f>
        <v>4.3691017126873898E-4</v>
      </c>
      <c r="T59" s="81">
        <f t="shared" ref="T59:T89" si="28">((O59-H59)/H59)</f>
        <v>1.8050541516245488E-3</v>
      </c>
      <c r="U59" s="82">
        <f t="shared" ref="U59:U89" si="29">P59-I59</f>
        <v>0.17730000000000001</v>
      </c>
      <c r="V59" s="84">
        <f t="shared" ref="V59:V89" si="30">Q59-J59</f>
        <v>-2.9999999999999472E-4</v>
      </c>
    </row>
    <row r="60" spans="1:22">
      <c r="A60" s="134">
        <v>49</v>
      </c>
      <c r="B60" s="120" t="s">
        <v>95</v>
      </c>
      <c r="C60" s="121" t="s">
        <v>21</v>
      </c>
      <c r="D60" s="2">
        <v>990573875.76999998</v>
      </c>
      <c r="E60" s="3">
        <f>(D60/$D$89)</f>
        <v>3.3879300550160316E-3</v>
      </c>
      <c r="F60" s="14">
        <v>1.0590999999999999</v>
      </c>
      <c r="G60" s="14">
        <v>1.0590999999999999</v>
      </c>
      <c r="H60" s="60">
        <v>143</v>
      </c>
      <c r="I60" s="5">
        <v>7.8899999999999998E-2</v>
      </c>
      <c r="J60" s="5">
        <v>2.5499999999999998E-2</v>
      </c>
      <c r="K60" s="2">
        <v>1005122949.39</v>
      </c>
      <c r="L60" s="3">
        <f t="shared" si="20"/>
        <v>3.4428134110689795E-3</v>
      </c>
      <c r="M60" s="14">
        <v>1.0608</v>
      </c>
      <c r="N60" s="14">
        <v>1.0608</v>
      </c>
      <c r="O60" s="60">
        <v>143</v>
      </c>
      <c r="P60" s="5">
        <v>8.3699999999999997E-2</v>
      </c>
      <c r="Q60" s="5">
        <v>2.6700000000000002E-2</v>
      </c>
      <c r="R60" s="81">
        <f t="shared" si="26"/>
        <v>1.4687520008228174E-2</v>
      </c>
      <c r="S60" s="81">
        <f t="shared" si="27"/>
        <v>1.6051364365971437E-3</v>
      </c>
      <c r="T60" s="81">
        <f t="shared" si="28"/>
        <v>0</v>
      </c>
      <c r="U60" s="82">
        <f t="shared" si="29"/>
        <v>4.7999999999999987E-3</v>
      </c>
      <c r="V60" s="84">
        <f t="shared" si="30"/>
        <v>1.2000000000000031E-3</v>
      </c>
    </row>
    <row r="61" spans="1:22">
      <c r="A61" s="126">
        <v>50</v>
      </c>
      <c r="B61" s="120" t="s">
        <v>96</v>
      </c>
      <c r="C61" s="121" t="s">
        <v>97</v>
      </c>
      <c r="D61" s="2">
        <v>254789217.69999999</v>
      </c>
      <c r="E61" s="3">
        <f>(D61/$D$89)</f>
        <v>8.7142218208496316E-4</v>
      </c>
      <c r="F61" s="7">
        <v>1117.99</v>
      </c>
      <c r="G61" s="7">
        <v>1117.99</v>
      </c>
      <c r="H61" s="60">
        <v>115</v>
      </c>
      <c r="I61" s="5">
        <v>-4.0000000000000001E-3</v>
      </c>
      <c r="J61" s="5">
        <v>4.41E-2</v>
      </c>
      <c r="K61" s="2">
        <v>265551779.63999999</v>
      </c>
      <c r="L61" s="3">
        <f t="shared" si="20"/>
        <v>9.0958546795958989E-4</v>
      </c>
      <c r="M61" s="7">
        <v>1122.46</v>
      </c>
      <c r="N61" s="7">
        <v>1122.46</v>
      </c>
      <c r="O61" s="60">
        <v>118</v>
      </c>
      <c r="P61" s="5">
        <v>3.8999999999999998E-3</v>
      </c>
      <c r="Q61" s="5">
        <v>4.8099999999999997E-2</v>
      </c>
      <c r="R61" s="81">
        <f t="shared" si="26"/>
        <v>4.224104158391942E-2</v>
      </c>
      <c r="S61" s="81">
        <f t="shared" si="27"/>
        <v>3.9982468537285909E-3</v>
      </c>
      <c r="T61" s="81">
        <f t="shared" si="28"/>
        <v>2.6086956521739129E-2</v>
      </c>
      <c r="U61" s="82">
        <f t="shared" si="29"/>
        <v>7.9000000000000008E-3</v>
      </c>
      <c r="V61" s="84">
        <f t="shared" si="30"/>
        <v>3.9999999999999966E-3</v>
      </c>
    </row>
    <row r="62" spans="1:22" ht="15" customHeight="1">
      <c r="A62" s="137">
        <v>51</v>
      </c>
      <c r="B62" s="120" t="s">
        <v>98</v>
      </c>
      <c r="C62" s="121" t="s">
        <v>99</v>
      </c>
      <c r="D62" s="2">
        <v>1481091103.8499999</v>
      </c>
      <c r="E62" s="3">
        <f>(D62/$K$89)</f>
        <v>5.0731309223855129E-3</v>
      </c>
      <c r="F62" s="7">
        <v>1.0425</v>
      </c>
      <c r="G62" s="7">
        <v>1.0425</v>
      </c>
      <c r="H62" s="60">
        <v>785</v>
      </c>
      <c r="I62" s="5">
        <v>1.4800000000000001E-2</v>
      </c>
      <c r="J62" s="5">
        <v>7.3800000000000004E-2</v>
      </c>
      <c r="K62" s="2">
        <v>1469158911.74</v>
      </c>
      <c r="L62" s="3">
        <f t="shared" si="20"/>
        <v>5.0322599910783625E-3</v>
      </c>
      <c r="M62" s="7">
        <v>1.0443</v>
      </c>
      <c r="N62" s="7">
        <v>1.0443</v>
      </c>
      <c r="O62" s="60">
        <v>787</v>
      </c>
      <c r="P62" s="5">
        <v>1.6500000000000001E-2</v>
      </c>
      <c r="Q62" s="5">
        <v>7.5499999999999998E-2</v>
      </c>
      <c r="R62" s="81">
        <f t="shared" si="26"/>
        <v>-8.0563525626363829E-3</v>
      </c>
      <c r="S62" s="81">
        <f t="shared" si="27"/>
        <v>1.7266187050359941E-3</v>
      </c>
      <c r="T62" s="81">
        <f t="shared" si="28"/>
        <v>2.5477707006369425E-3</v>
      </c>
      <c r="U62" s="82">
        <f t="shared" si="29"/>
        <v>1.7000000000000001E-3</v>
      </c>
      <c r="V62" s="84">
        <v>7.87</v>
      </c>
    </row>
    <row r="63" spans="1:22">
      <c r="A63" s="129">
        <v>52</v>
      </c>
      <c r="B63" s="120" t="s">
        <v>100</v>
      </c>
      <c r="C63" s="121" t="s">
        <v>101</v>
      </c>
      <c r="D63" s="2">
        <v>413158855.03430551</v>
      </c>
      <c r="E63" s="3">
        <f t="shared" ref="E63:E88" si="31">(D63/$D$89)</f>
        <v>1.4130731051014938E-3</v>
      </c>
      <c r="F63" s="7">
        <v>2.2149000000000001</v>
      </c>
      <c r="G63" s="7">
        <v>2.2149000000000001</v>
      </c>
      <c r="H63" s="60">
        <v>1399</v>
      </c>
      <c r="I63" s="5">
        <v>6.6000000000000003E-2</v>
      </c>
      <c r="J63" s="5">
        <v>9.4200000000000006E-2</v>
      </c>
      <c r="K63" s="2">
        <v>413158855.03430551</v>
      </c>
      <c r="L63" s="3">
        <f t="shared" si="20"/>
        <v>1.4151789568403253E-3</v>
      </c>
      <c r="M63" s="7">
        <v>2.2193000000000001</v>
      </c>
      <c r="N63" s="7">
        <v>2.2193000000000001</v>
      </c>
      <c r="O63" s="60">
        <v>1399</v>
      </c>
      <c r="P63" s="5">
        <v>0.1036</v>
      </c>
      <c r="Q63" s="5">
        <v>9.4500000000000001E-2</v>
      </c>
      <c r="R63" s="81">
        <f t="shared" si="26"/>
        <v>0</v>
      </c>
      <c r="S63" s="81">
        <f t="shared" si="27"/>
        <v>1.9865456679759625E-3</v>
      </c>
      <c r="T63" s="81">
        <f t="shared" si="28"/>
        <v>0</v>
      </c>
      <c r="U63" s="82">
        <f t="shared" si="29"/>
        <v>3.7599999999999995E-2</v>
      </c>
      <c r="V63" s="84">
        <f t="shared" si="30"/>
        <v>2.9999999999999472E-4</v>
      </c>
    </row>
    <row r="64" spans="1:22">
      <c r="A64" s="132">
        <v>53</v>
      </c>
      <c r="B64" s="120" t="s">
        <v>102</v>
      </c>
      <c r="C64" s="121" t="s">
        <v>56</v>
      </c>
      <c r="D64" s="2">
        <v>2582227604.0762601</v>
      </c>
      <c r="E64" s="3">
        <f t="shared" si="31"/>
        <v>8.8316547838914339E-3</v>
      </c>
      <c r="F64" s="2">
        <v>3968.2332564711201</v>
      </c>
      <c r="G64" s="2">
        <v>3968.2332564711201</v>
      </c>
      <c r="H64" s="60">
        <v>1034</v>
      </c>
      <c r="I64" s="5">
        <v>0.13569343524239941</v>
      </c>
      <c r="J64" s="5">
        <v>7.6780510191182871E-2</v>
      </c>
      <c r="K64" s="2">
        <v>2584133662.3710999</v>
      </c>
      <c r="L64" s="3">
        <f t="shared" si="20"/>
        <v>8.851345036152385E-3</v>
      </c>
      <c r="M64" s="2">
        <v>3973.9420530555499</v>
      </c>
      <c r="N64" s="2">
        <v>3973.9420530555499</v>
      </c>
      <c r="O64" s="60">
        <v>1035</v>
      </c>
      <c r="P64" s="5">
        <v>7.5013978645063373E-2</v>
      </c>
      <c r="Q64" s="5">
        <v>7.6851747811487001E-2</v>
      </c>
      <c r="R64" s="81">
        <f t="shared" si="26"/>
        <v>7.3814496128497278E-4</v>
      </c>
      <c r="S64" s="81">
        <f t="shared" si="27"/>
        <v>1.4386242479875167E-3</v>
      </c>
      <c r="T64" s="81">
        <f t="shared" si="28"/>
        <v>9.6711798839458415E-4</v>
      </c>
      <c r="U64" s="82">
        <f t="shared" si="29"/>
        <v>-6.0679456597336034E-2</v>
      </c>
      <c r="V64" s="84">
        <f t="shared" si="30"/>
        <v>7.1237620304129279E-5</v>
      </c>
    </row>
    <row r="65" spans="1:22">
      <c r="A65" s="135">
        <v>54</v>
      </c>
      <c r="B65" s="120" t="s">
        <v>103</v>
      </c>
      <c r="C65" s="121" t="s">
        <v>58</v>
      </c>
      <c r="D65" s="2">
        <v>324049385.31999999</v>
      </c>
      <c r="E65" s="3">
        <f t="shared" si="31"/>
        <v>1.1083036598170985E-3</v>
      </c>
      <c r="F65" s="14">
        <v>106.67</v>
      </c>
      <c r="G65" s="14">
        <v>106.67</v>
      </c>
      <c r="H65" s="60">
        <v>120</v>
      </c>
      <c r="I65" s="5">
        <v>3.8E-3</v>
      </c>
      <c r="J65" s="5">
        <v>0.1032</v>
      </c>
      <c r="K65" s="2">
        <v>340356114.22000003</v>
      </c>
      <c r="L65" s="3">
        <f t="shared" si="20"/>
        <v>1.1658102078826134E-3</v>
      </c>
      <c r="M65" s="14">
        <v>106.87</v>
      </c>
      <c r="N65" s="14">
        <v>106.87</v>
      </c>
      <c r="O65" s="60">
        <v>121</v>
      </c>
      <c r="P65" s="5">
        <v>1.9E-3</v>
      </c>
      <c r="Q65" s="5">
        <v>0.1032</v>
      </c>
      <c r="R65" s="81">
        <f t="shared" si="26"/>
        <v>5.0321739952992287E-2</v>
      </c>
      <c r="S65" s="81">
        <f t="shared" si="27"/>
        <v>1.874941408081024E-3</v>
      </c>
      <c r="T65" s="81">
        <f t="shared" si="28"/>
        <v>8.3333333333333332E-3</v>
      </c>
      <c r="U65" s="82">
        <f t="shared" si="29"/>
        <v>-1.9E-3</v>
      </c>
      <c r="V65" s="84">
        <f t="shared" si="30"/>
        <v>0</v>
      </c>
    </row>
    <row r="66" spans="1:22">
      <c r="A66" s="137">
        <v>55</v>
      </c>
      <c r="B66" s="120" t="s">
        <v>104</v>
      </c>
      <c r="C66" s="121" t="s">
        <v>105</v>
      </c>
      <c r="D66" s="2">
        <v>314668206.70999998</v>
      </c>
      <c r="E66" s="3">
        <f t="shared" si="31"/>
        <v>1.0762184436189759E-3</v>
      </c>
      <c r="F66" s="14">
        <v>1.3683000000000001</v>
      </c>
      <c r="G66" s="14">
        <v>1.3683000000000001</v>
      </c>
      <c r="H66" s="60">
        <v>306</v>
      </c>
      <c r="I66" s="5">
        <v>6.0289684582015557E-3</v>
      </c>
      <c r="J66" s="5">
        <v>1.5048522698069999E-2</v>
      </c>
      <c r="K66" s="2">
        <v>318009846.07999998</v>
      </c>
      <c r="L66" s="3">
        <f t="shared" si="20"/>
        <v>1.0892682965806914E-3</v>
      </c>
      <c r="M66" s="14">
        <v>1.3675999999999999</v>
      </c>
      <c r="N66" s="14">
        <v>1.3675999999999999</v>
      </c>
      <c r="O66" s="60">
        <v>308</v>
      </c>
      <c r="P66" s="5">
        <v>-5.0000000000000001E-4</v>
      </c>
      <c r="Q66" s="5">
        <v>1.46E-2</v>
      </c>
      <c r="R66" s="81">
        <f t="shared" si="26"/>
        <v>1.0619564667617274E-2</v>
      </c>
      <c r="S66" s="81">
        <f t="shared" si="27"/>
        <v>-5.1158371702122703E-4</v>
      </c>
      <c r="T66" s="81">
        <f t="shared" si="28"/>
        <v>6.5359477124183009E-3</v>
      </c>
      <c r="U66" s="82">
        <f t="shared" si="29"/>
        <v>-6.5289684582015561E-3</v>
      </c>
      <c r="V66" s="84">
        <f t="shared" si="30"/>
        <v>-4.4852269806999918E-4</v>
      </c>
    </row>
    <row r="67" spans="1:22">
      <c r="A67" s="131">
        <v>56</v>
      </c>
      <c r="B67" s="120" t="s">
        <v>106</v>
      </c>
      <c r="C67" s="121" t="s">
        <v>25</v>
      </c>
      <c r="D67" s="2">
        <v>66486669.299999997</v>
      </c>
      <c r="E67" s="3">
        <f t="shared" si="31"/>
        <v>2.2739564477640504E-4</v>
      </c>
      <c r="F67" s="14">
        <v>111.0899</v>
      </c>
      <c r="G67" s="14">
        <v>111.0899</v>
      </c>
      <c r="H67" s="60">
        <v>81</v>
      </c>
      <c r="I67" s="5">
        <v>3.2899999999999997E-4</v>
      </c>
      <c r="J67" s="5">
        <v>9.0499999999999997E-2</v>
      </c>
      <c r="K67" s="2">
        <v>66946811.340000004</v>
      </c>
      <c r="L67" s="3">
        <f t="shared" si="20"/>
        <v>2.2931063314148416E-4</v>
      </c>
      <c r="M67" s="14">
        <v>111.34010000000001</v>
      </c>
      <c r="N67" s="14">
        <v>111.34010000000001</v>
      </c>
      <c r="O67" s="60">
        <v>81</v>
      </c>
      <c r="P67" s="5">
        <v>3.2899999999999997E-4</v>
      </c>
      <c r="Q67" s="5">
        <v>9.2299999999999993E-2</v>
      </c>
      <c r="R67" s="81">
        <f t="shared" si="26"/>
        <v>6.9208165312622536E-3</v>
      </c>
      <c r="S67" s="81">
        <f t="shared" si="27"/>
        <v>2.2522299506976479E-3</v>
      </c>
      <c r="T67" s="81">
        <f t="shared" si="28"/>
        <v>0</v>
      </c>
      <c r="U67" s="82">
        <f t="shared" si="29"/>
        <v>0</v>
      </c>
      <c r="V67" s="84">
        <f t="shared" si="30"/>
        <v>1.799999999999996E-3</v>
      </c>
    </row>
    <row r="68" spans="1:22">
      <c r="A68" s="132">
        <v>57</v>
      </c>
      <c r="B68" s="120" t="s">
        <v>107</v>
      </c>
      <c r="C68" s="121" t="s">
        <v>108</v>
      </c>
      <c r="D68" s="2">
        <v>911509412.58000016</v>
      </c>
      <c r="E68" s="3">
        <f t="shared" si="31"/>
        <v>3.1175162295788419E-3</v>
      </c>
      <c r="F68" s="7">
        <v>1000</v>
      </c>
      <c r="G68" s="7">
        <v>1000</v>
      </c>
      <c r="H68" s="60">
        <v>263</v>
      </c>
      <c r="I68" s="5">
        <v>3.61450028022704E-3</v>
      </c>
      <c r="J68" s="5">
        <v>0.15190000000000001</v>
      </c>
      <c r="K68" s="2">
        <v>911509412.58000016</v>
      </c>
      <c r="L68" s="3">
        <f t="shared" si="20"/>
        <v>3.1221621512577649E-3</v>
      </c>
      <c r="M68" s="7">
        <v>1000</v>
      </c>
      <c r="N68" s="7">
        <v>1000</v>
      </c>
      <c r="O68" s="60">
        <v>267</v>
      </c>
      <c r="P68" s="5">
        <v>7.4911695729754199E-4</v>
      </c>
      <c r="Q68" s="5">
        <v>0.14749999999999999</v>
      </c>
      <c r="R68" s="81">
        <f t="shared" si="26"/>
        <v>0</v>
      </c>
      <c r="S68" s="81">
        <f t="shared" si="27"/>
        <v>0</v>
      </c>
      <c r="T68" s="81">
        <f t="shared" si="28"/>
        <v>1.5209125475285171E-2</v>
      </c>
      <c r="U68" s="82">
        <f t="shared" si="29"/>
        <v>-2.8653833229294982E-3</v>
      </c>
      <c r="V68" s="84">
        <f t="shared" si="30"/>
        <v>-4.400000000000015E-3</v>
      </c>
    </row>
    <row r="69" spans="1:22">
      <c r="A69" s="134">
        <v>58</v>
      </c>
      <c r="B69" s="120" t="s">
        <v>109</v>
      </c>
      <c r="C69" s="121" t="s">
        <v>64</v>
      </c>
      <c r="D69" s="2">
        <v>233036106.40000001</v>
      </c>
      <c r="E69" s="3">
        <f t="shared" si="31"/>
        <v>7.9702286531912244E-4</v>
      </c>
      <c r="F69" s="7">
        <v>1105.3399999999999</v>
      </c>
      <c r="G69" s="7">
        <v>1114.23</v>
      </c>
      <c r="H69" s="60">
        <v>79</v>
      </c>
      <c r="I69" s="5">
        <v>-3.5000000000000001E-3</v>
      </c>
      <c r="J69" s="5">
        <v>6.3600000000000004E-2</v>
      </c>
      <c r="K69" s="2">
        <v>221481490.08000001</v>
      </c>
      <c r="L69" s="3">
        <f t="shared" si="20"/>
        <v>7.5863300585637939E-4</v>
      </c>
      <c r="M69" s="7">
        <v>1110.72</v>
      </c>
      <c r="N69" s="7">
        <v>1120.78</v>
      </c>
      <c r="O69" s="60">
        <v>78</v>
      </c>
      <c r="P69" s="5">
        <v>5.4000000000000003E-3</v>
      </c>
      <c r="Q69" s="5">
        <v>6.9000000000000006E-2</v>
      </c>
      <c r="R69" s="81">
        <f t="shared" si="26"/>
        <v>-4.9582944456541919E-2</v>
      </c>
      <c r="S69" s="81">
        <f t="shared" si="27"/>
        <v>5.8784990531577453E-3</v>
      </c>
      <c r="T69" s="81">
        <f t="shared" si="28"/>
        <v>-1.2658227848101266E-2</v>
      </c>
      <c r="U69" s="82">
        <f t="shared" si="29"/>
        <v>8.8999999999999999E-3</v>
      </c>
      <c r="V69" s="84">
        <f t="shared" si="30"/>
        <v>5.400000000000002E-3</v>
      </c>
    </row>
    <row r="70" spans="1:22">
      <c r="A70" s="131">
        <v>59</v>
      </c>
      <c r="B70" s="120" t="s">
        <v>110</v>
      </c>
      <c r="C70" s="121" t="s">
        <v>67</v>
      </c>
      <c r="D70" s="2">
        <v>743241870.38999999</v>
      </c>
      <c r="E70" s="3">
        <f t="shared" si="31"/>
        <v>2.5420127992808825E-3</v>
      </c>
      <c r="F70" s="15">
        <v>1.0952999999999999</v>
      </c>
      <c r="G70" s="15">
        <v>1.0952999999999999</v>
      </c>
      <c r="H70" s="60">
        <v>38</v>
      </c>
      <c r="I70" s="5">
        <v>3.0219780219778924E-3</v>
      </c>
      <c r="J70" s="5">
        <v>9.6946935511509638E-2</v>
      </c>
      <c r="K70" s="2">
        <v>746785498.79999995</v>
      </c>
      <c r="L70" s="3">
        <f t="shared" si="20"/>
        <v>2.5579389387346291E-3</v>
      </c>
      <c r="M70" s="15">
        <v>1.1006</v>
      </c>
      <c r="N70" s="15">
        <v>1.1006</v>
      </c>
      <c r="O70" s="60">
        <v>37</v>
      </c>
      <c r="P70" s="5">
        <v>4.8388569341733609E-3</v>
      </c>
      <c r="Q70" s="5">
        <v>0.10033066517529457</v>
      </c>
      <c r="R70" s="81">
        <f t="shared" si="26"/>
        <v>4.7677997582947322E-3</v>
      </c>
      <c r="S70" s="81">
        <f t="shared" si="27"/>
        <v>4.8388569341733609E-3</v>
      </c>
      <c r="T70" s="81">
        <f t="shared" si="28"/>
        <v>-2.6315789473684209E-2</v>
      </c>
      <c r="U70" s="82">
        <f t="shared" si="29"/>
        <v>1.8168789121954685E-3</v>
      </c>
      <c r="V70" s="84">
        <f t="shared" si="30"/>
        <v>3.3837296637849318E-3</v>
      </c>
    </row>
    <row r="71" spans="1:22">
      <c r="A71" s="128">
        <v>60</v>
      </c>
      <c r="B71" s="120" t="s">
        <v>111</v>
      </c>
      <c r="C71" s="121" t="s">
        <v>27</v>
      </c>
      <c r="D71" s="2">
        <v>66295180857.25</v>
      </c>
      <c r="E71" s="3">
        <f t="shared" si="31"/>
        <v>0.22674072194202619</v>
      </c>
      <c r="F71" s="15">
        <v>1529.5</v>
      </c>
      <c r="G71" s="2">
        <v>1529.5</v>
      </c>
      <c r="H71" s="60">
        <v>2454</v>
      </c>
      <c r="I71" s="5">
        <v>2.5999999999999999E-3</v>
      </c>
      <c r="J71" s="5">
        <v>0.1177</v>
      </c>
      <c r="K71" s="2">
        <v>66477699753.580002</v>
      </c>
      <c r="L71" s="3">
        <f t="shared" si="20"/>
        <v>0.22770380119918815</v>
      </c>
      <c r="M71" s="15">
        <v>1532.73</v>
      </c>
      <c r="N71" s="2">
        <v>1532.73</v>
      </c>
      <c r="O71" s="60">
        <v>2462</v>
      </c>
      <c r="P71" s="5">
        <v>2.0999999999999999E-3</v>
      </c>
      <c r="Q71" s="5">
        <v>0.11849999999999999</v>
      </c>
      <c r="R71" s="81">
        <f t="shared" si="26"/>
        <v>2.7531246460132655E-3</v>
      </c>
      <c r="S71" s="81">
        <f t="shared" si="27"/>
        <v>2.1118012422360367E-3</v>
      </c>
      <c r="T71" s="81">
        <f t="shared" si="28"/>
        <v>3.2599837000814994E-3</v>
      </c>
      <c r="U71" s="82">
        <f t="shared" si="29"/>
        <v>-5.0000000000000001E-4</v>
      </c>
      <c r="V71" s="84">
        <f t="shared" si="30"/>
        <v>7.9999999999999516E-4</v>
      </c>
    </row>
    <row r="72" spans="1:22">
      <c r="A72" s="131">
        <v>61</v>
      </c>
      <c r="B72" s="120" t="s">
        <v>112</v>
      </c>
      <c r="C72" s="121" t="s">
        <v>72</v>
      </c>
      <c r="D72" s="2">
        <v>24850421.859999999</v>
      </c>
      <c r="E72" s="3">
        <f t="shared" si="31"/>
        <v>8.4992642304317848E-5</v>
      </c>
      <c r="F72" s="2">
        <v>0.75690000000000002</v>
      </c>
      <c r="G72" s="2">
        <v>0.75690000000000002</v>
      </c>
      <c r="H72" s="60">
        <v>748</v>
      </c>
      <c r="I72" s="5">
        <v>2E-3</v>
      </c>
      <c r="J72" s="5">
        <v>0.1077</v>
      </c>
      <c r="K72" s="2">
        <v>24897823.309999999</v>
      </c>
      <c r="L72" s="3">
        <f t="shared" si="20"/>
        <v>8.5281666337551704E-5</v>
      </c>
      <c r="M72" s="2">
        <v>0.75829999999999997</v>
      </c>
      <c r="N72" s="2">
        <v>0.75829999999999997</v>
      </c>
      <c r="O72" s="60">
        <v>748</v>
      </c>
      <c r="P72" s="5">
        <v>1.8E-3</v>
      </c>
      <c r="Q72" s="5">
        <v>0.10979999999999999</v>
      </c>
      <c r="R72" s="81">
        <f t="shared" si="26"/>
        <v>1.9074706363958385E-3</v>
      </c>
      <c r="S72" s="81">
        <f t="shared" si="27"/>
        <v>1.8496498876997712E-3</v>
      </c>
      <c r="T72" s="81">
        <f t="shared" si="28"/>
        <v>0</v>
      </c>
      <c r="U72" s="82">
        <f t="shared" si="29"/>
        <v>-2.0000000000000009E-4</v>
      </c>
      <c r="V72" s="84">
        <f t="shared" si="30"/>
        <v>2.0999999999999908E-3</v>
      </c>
    </row>
    <row r="73" spans="1:22">
      <c r="A73" s="132">
        <v>62</v>
      </c>
      <c r="B73" s="120" t="s">
        <v>113</v>
      </c>
      <c r="C73" s="121" t="s">
        <v>114</v>
      </c>
      <c r="D73" s="2">
        <v>1077045275.1199999</v>
      </c>
      <c r="E73" s="3">
        <f t="shared" si="31"/>
        <v>3.683676853839525E-3</v>
      </c>
      <c r="F73" s="2">
        <v>211.39979500000001</v>
      </c>
      <c r="G73" s="2">
        <v>213.410338</v>
      </c>
      <c r="H73" s="60">
        <v>487</v>
      </c>
      <c r="I73" s="5">
        <v>6.9999999999999999E-4</v>
      </c>
      <c r="J73" s="5">
        <v>6.9900000000000004E-2</v>
      </c>
      <c r="K73" s="2">
        <v>1050319366.71</v>
      </c>
      <c r="L73" s="3">
        <f t="shared" si="20"/>
        <v>3.5976231602404618E-3</v>
      </c>
      <c r="M73" s="2">
        <v>211.85947300000001</v>
      </c>
      <c r="N73" s="2">
        <v>214.01476099999999</v>
      </c>
      <c r="O73" s="60">
        <v>487</v>
      </c>
      <c r="P73" s="5">
        <v>1.8E-3</v>
      </c>
      <c r="Q73" s="5">
        <v>7.2999999999999995E-2</v>
      </c>
      <c r="R73" s="81">
        <f t="shared" si="26"/>
        <v>-2.4814099302392055E-2</v>
      </c>
      <c r="S73" s="81">
        <f t="shared" si="27"/>
        <v>2.8322104995681936E-3</v>
      </c>
      <c r="T73" s="81">
        <f t="shared" si="28"/>
        <v>0</v>
      </c>
      <c r="U73" s="82">
        <f t="shared" si="29"/>
        <v>1.0999999999999998E-3</v>
      </c>
      <c r="V73" s="84">
        <f t="shared" si="30"/>
        <v>3.0999999999999917E-3</v>
      </c>
    </row>
    <row r="74" spans="1:22">
      <c r="A74" s="129">
        <v>63</v>
      </c>
      <c r="B74" s="120" t="s">
        <v>115</v>
      </c>
      <c r="C74" s="121" t="s">
        <v>34</v>
      </c>
      <c r="D74" s="2">
        <v>1224946428.6900001</v>
      </c>
      <c r="E74" s="3">
        <f t="shared" si="31"/>
        <v>4.1895237932834334E-3</v>
      </c>
      <c r="F74" s="14">
        <v>3.56</v>
      </c>
      <c r="G74" s="14">
        <v>3.56</v>
      </c>
      <c r="H74" s="61">
        <v>782</v>
      </c>
      <c r="I74" s="12">
        <v>7.1000000000000004E-3</v>
      </c>
      <c r="J74" s="12">
        <v>-3.5999999999999999E-3</v>
      </c>
      <c r="K74" s="2">
        <v>1216965752.6099999</v>
      </c>
      <c r="L74" s="3">
        <f t="shared" si="20"/>
        <v>4.168431351050242E-3</v>
      </c>
      <c r="M74" s="14">
        <v>3.57</v>
      </c>
      <c r="N74" s="14">
        <v>3.57</v>
      </c>
      <c r="O74" s="61">
        <v>781</v>
      </c>
      <c r="P74" s="12">
        <v>8.2000000000000007E-3</v>
      </c>
      <c r="Q74" s="12">
        <v>-2.3999999999999998E-3</v>
      </c>
      <c r="R74" s="81">
        <f t="shared" si="26"/>
        <v>-6.5151225335910992E-3</v>
      </c>
      <c r="S74" s="81">
        <f t="shared" si="27"/>
        <v>2.8089887640448839E-3</v>
      </c>
      <c r="T74" s="81">
        <f t="shared" si="28"/>
        <v>-1.2787723785166241E-3</v>
      </c>
      <c r="U74" s="82">
        <f t="shared" si="29"/>
        <v>1.1000000000000003E-3</v>
      </c>
      <c r="V74" s="84">
        <f t="shared" si="30"/>
        <v>1.2000000000000001E-3</v>
      </c>
    </row>
    <row r="75" spans="1:22">
      <c r="A75" s="135">
        <v>64</v>
      </c>
      <c r="B75" s="121" t="s">
        <v>116</v>
      </c>
      <c r="C75" s="138" t="s">
        <v>40</v>
      </c>
      <c r="D75" s="2">
        <v>1964680833</v>
      </c>
      <c r="E75" s="3">
        <f t="shared" si="31"/>
        <v>6.7195404658340974E-3</v>
      </c>
      <c r="F75" s="14">
        <v>101.46</v>
      </c>
      <c r="G75" s="14">
        <v>101.46</v>
      </c>
      <c r="H75" s="60">
        <v>169</v>
      </c>
      <c r="I75" s="5">
        <v>1.9E-3</v>
      </c>
      <c r="J75" s="5">
        <v>0.1043</v>
      </c>
      <c r="K75" s="2">
        <v>2060936769</v>
      </c>
      <c r="L75" s="3">
        <f t="shared" si="20"/>
        <v>7.0592565337250709E-3</v>
      </c>
      <c r="M75" s="14">
        <v>101.66</v>
      </c>
      <c r="N75" s="14">
        <v>101.66</v>
      </c>
      <c r="O75" s="60">
        <v>169</v>
      </c>
      <c r="P75" s="5">
        <v>1.9E-3</v>
      </c>
      <c r="Q75" s="5">
        <v>0.105</v>
      </c>
      <c r="R75" s="81">
        <f t="shared" si="26"/>
        <v>4.8993166922191883E-2</v>
      </c>
      <c r="S75" s="81">
        <f t="shared" si="27"/>
        <v>1.9712201852947254E-3</v>
      </c>
      <c r="T75" s="81">
        <f t="shared" si="28"/>
        <v>0</v>
      </c>
      <c r="U75" s="82">
        <f t="shared" si="29"/>
        <v>0</v>
      </c>
      <c r="V75" s="84">
        <f t="shared" si="30"/>
        <v>6.999999999999923E-4</v>
      </c>
    </row>
    <row r="76" spans="1:22">
      <c r="A76" s="129">
        <v>65</v>
      </c>
      <c r="B76" s="120" t="s">
        <v>117</v>
      </c>
      <c r="C76" s="121" t="s">
        <v>17</v>
      </c>
      <c r="D76" s="2">
        <v>1626693386.55</v>
      </c>
      <c r="E76" s="3">
        <f t="shared" si="31"/>
        <v>5.5635662815200024E-3</v>
      </c>
      <c r="F76" s="14">
        <v>336.82</v>
      </c>
      <c r="G76" s="14">
        <v>336.82</v>
      </c>
      <c r="H76" s="60">
        <v>102</v>
      </c>
      <c r="I76" s="5">
        <v>-1.6799999999999999E-2</v>
      </c>
      <c r="J76" s="5">
        <v>0.1236</v>
      </c>
      <c r="K76" s="2">
        <v>1198302922.25</v>
      </c>
      <c r="L76" s="3">
        <f t="shared" si="20"/>
        <v>4.1045061937439566E-3</v>
      </c>
      <c r="M76" s="14">
        <v>337.46120000000002</v>
      </c>
      <c r="N76" s="14">
        <v>337.46120000000002</v>
      </c>
      <c r="O76" s="60">
        <v>102</v>
      </c>
      <c r="P76" s="5">
        <v>1.9E-3</v>
      </c>
      <c r="Q76" s="5">
        <v>0.12559999999999999</v>
      </c>
      <c r="R76" s="81">
        <f t="shared" si="26"/>
        <v>-0.26335046779071197</v>
      </c>
      <c r="S76" s="81">
        <f t="shared" si="27"/>
        <v>1.903687429487638E-3</v>
      </c>
      <c r="T76" s="81">
        <f t="shared" si="28"/>
        <v>0</v>
      </c>
      <c r="U76" s="82">
        <f t="shared" si="29"/>
        <v>1.8699999999999998E-2</v>
      </c>
      <c r="V76" s="84">
        <f t="shared" si="30"/>
        <v>1.9999999999999879E-3</v>
      </c>
    </row>
    <row r="77" spans="1:22">
      <c r="A77" s="132">
        <v>66</v>
      </c>
      <c r="B77" s="120" t="s">
        <v>118</v>
      </c>
      <c r="C77" s="121" t="s">
        <v>38</v>
      </c>
      <c r="D77" s="2">
        <v>54753009.219999999</v>
      </c>
      <c r="E77" s="3">
        <f t="shared" si="31"/>
        <v>1.8726454439838138E-4</v>
      </c>
      <c r="F77" s="14">
        <v>11.928228000000001</v>
      </c>
      <c r="G77" s="2">
        <v>12.126516000000001</v>
      </c>
      <c r="H77" s="60">
        <v>55</v>
      </c>
      <c r="I77" s="5">
        <v>2.0000000000000001E-4</v>
      </c>
      <c r="J77" s="5">
        <v>7.4800000000000005E-2</v>
      </c>
      <c r="K77" s="2">
        <v>54825618.439999998</v>
      </c>
      <c r="L77" s="3">
        <f t="shared" si="20"/>
        <v>1.8779232386439496E-4</v>
      </c>
      <c r="M77" s="14">
        <v>11.944046</v>
      </c>
      <c r="N77" s="2">
        <v>12.148860000000001</v>
      </c>
      <c r="O77" s="60">
        <v>55</v>
      </c>
      <c r="P77" s="5">
        <v>2.0000000000000001E-4</v>
      </c>
      <c r="Q77" s="5">
        <v>7.6499999999999999E-2</v>
      </c>
      <c r="R77" s="81">
        <f t="shared" si="26"/>
        <v>1.3261229114960927E-3</v>
      </c>
      <c r="S77" s="81">
        <f t="shared" si="27"/>
        <v>1.8425737450064276E-3</v>
      </c>
      <c r="T77" s="81">
        <f t="shared" si="28"/>
        <v>0</v>
      </c>
      <c r="U77" s="82">
        <f t="shared" si="29"/>
        <v>0</v>
      </c>
      <c r="V77" s="84">
        <f t="shared" si="30"/>
        <v>1.6999999999999932E-3</v>
      </c>
    </row>
    <row r="78" spans="1:22">
      <c r="A78" s="127">
        <v>67</v>
      </c>
      <c r="B78" s="120" t="s">
        <v>237</v>
      </c>
      <c r="C78" s="121" t="s">
        <v>238</v>
      </c>
      <c r="D78" s="2">
        <v>139362697.43000001</v>
      </c>
      <c r="E78" s="3">
        <f t="shared" si="31"/>
        <v>4.7664397650724096E-4</v>
      </c>
      <c r="F78" s="2">
        <v>110.67</v>
      </c>
      <c r="G78" s="2">
        <v>110.67</v>
      </c>
      <c r="H78" s="60">
        <v>68</v>
      </c>
      <c r="I78" s="5">
        <v>-5.0000000000000001E-4</v>
      </c>
      <c r="J78" s="5">
        <v>0.1105</v>
      </c>
      <c r="K78" s="2">
        <v>143137236.69</v>
      </c>
      <c r="L78" s="3">
        <f t="shared" si="20"/>
        <v>4.902831025784054E-4</v>
      </c>
      <c r="M78" s="2">
        <v>110.85</v>
      </c>
      <c r="N78" s="2">
        <v>110.85</v>
      </c>
      <c r="O78" s="60">
        <v>70</v>
      </c>
      <c r="P78" s="5">
        <v>-0.114</v>
      </c>
      <c r="Q78" s="5">
        <v>0.1104</v>
      </c>
      <c r="R78" s="81">
        <f t="shared" ref="R78" si="32">((K78-D78)/D78)</f>
        <v>2.708428675396363E-2</v>
      </c>
      <c r="S78" s="81">
        <f t="shared" ref="S78" si="33">((N78-G78)/G78)</f>
        <v>1.6264570344266072E-3</v>
      </c>
      <c r="T78" s="81">
        <f t="shared" ref="T78" si="34">((O78-H78)/H78)</f>
        <v>2.9411764705882353E-2</v>
      </c>
      <c r="U78" s="82">
        <f t="shared" si="29"/>
        <v>-0.1135</v>
      </c>
      <c r="V78" s="84">
        <f t="shared" si="30"/>
        <v>-1.0000000000000286E-4</v>
      </c>
    </row>
    <row r="79" spans="1:22">
      <c r="A79" s="126">
        <v>68</v>
      </c>
      <c r="B79" s="120" t="s">
        <v>119</v>
      </c>
      <c r="C79" s="121" t="s">
        <v>120</v>
      </c>
      <c r="D79" s="2">
        <v>6860974079.8800001</v>
      </c>
      <c r="E79" s="3">
        <f t="shared" si="31"/>
        <v>2.3465690808616203E-2</v>
      </c>
      <c r="F79" s="14">
        <v>1.1000000000000001</v>
      </c>
      <c r="G79" s="14">
        <v>1.1000000000000001</v>
      </c>
      <c r="H79" s="60">
        <v>3607</v>
      </c>
      <c r="I79" s="5">
        <v>0</v>
      </c>
      <c r="J79" s="5">
        <v>0.1002</v>
      </c>
      <c r="K79" s="2">
        <v>6804910660.0200005</v>
      </c>
      <c r="L79" s="3">
        <f t="shared" si="20"/>
        <v>2.3308628755975953E-2</v>
      </c>
      <c r="M79" s="14">
        <v>1.1000000000000001</v>
      </c>
      <c r="N79" s="14">
        <v>1.1000000000000001</v>
      </c>
      <c r="O79" s="60">
        <v>3632</v>
      </c>
      <c r="P79" s="5">
        <v>0</v>
      </c>
      <c r="Q79" s="5">
        <v>0.10050000000000001</v>
      </c>
      <c r="R79" s="81">
        <f t="shared" si="26"/>
        <v>-8.1713498997769453E-3</v>
      </c>
      <c r="S79" s="81">
        <f t="shared" si="27"/>
        <v>0</v>
      </c>
      <c r="T79" s="81">
        <f t="shared" si="28"/>
        <v>6.930967563071805E-3</v>
      </c>
      <c r="U79" s="82">
        <f t="shared" si="29"/>
        <v>0</v>
      </c>
      <c r="V79" s="84">
        <f t="shared" si="30"/>
        <v>3.0000000000000859E-4</v>
      </c>
    </row>
    <row r="80" spans="1:22" ht="14.25" customHeight="1">
      <c r="A80" s="134">
        <v>69</v>
      </c>
      <c r="B80" s="120" t="s">
        <v>121</v>
      </c>
      <c r="C80" s="121" t="s">
        <v>42</v>
      </c>
      <c r="D80" s="2">
        <v>22242602802.93</v>
      </c>
      <c r="E80" s="3">
        <f t="shared" si="31"/>
        <v>7.6073460426415759E-2</v>
      </c>
      <c r="F80" s="2">
        <v>4959.92</v>
      </c>
      <c r="G80" s="2">
        <v>4959.92</v>
      </c>
      <c r="H80" s="60">
        <v>1136</v>
      </c>
      <c r="I80" s="5">
        <v>1.9E-3</v>
      </c>
      <c r="J80" s="5">
        <v>8.4900000000000003E-2</v>
      </c>
      <c r="K80" s="2">
        <v>22230077435.110001</v>
      </c>
      <c r="L80" s="3">
        <f t="shared" si="20"/>
        <v>7.614392723710707E-2</v>
      </c>
      <c r="M80" s="2">
        <v>4969.58</v>
      </c>
      <c r="N80" s="2">
        <v>4969.58</v>
      </c>
      <c r="O80" s="60">
        <v>1136</v>
      </c>
      <c r="P80" s="5">
        <v>1.9E-3</v>
      </c>
      <c r="Q80" s="5">
        <v>8.6999999999999994E-2</v>
      </c>
      <c r="R80" s="81">
        <f t="shared" si="26"/>
        <v>-5.6312509515971478E-4</v>
      </c>
      <c r="S80" s="81">
        <f t="shared" si="27"/>
        <v>1.9476120582589747E-3</v>
      </c>
      <c r="T80" s="81">
        <f t="shared" si="28"/>
        <v>0</v>
      </c>
      <c r="U80" s="82">
        <f t="shared" si="29"/>
        <v>0</v>
      </c>
      <c r="V80" s="84">
        <f t="shared" si="30"/>
        <v>2.0999999999999908E-3</v>
      </c>
    </row>
    <row r="81" spans="1:29">
      <c r="A81" s="134">
        <v>70</v>
      </c>
      <c r="B81" s="120" t="s">
        <v>122</v>
      </c>
      <c r="C81" s="121" t="s">
        <v>42</v>
      </c>
      <c r="D81" s="2">
        <v>36570103383.790001</v>
      </c>
      <c r="E81" s="3">
        <f t="shared" si="31"/>
        <v>0.12507593365782754</v>
      </c>
      <c r="F81" s="14">
        <v>255.36</v>
      </c>
      <c r="G81" s="14">
        <v>255.36</v>
      </c>
      <c r="H81" s="60">
        <v>11773</v>
      </c>
      <c r="I81" s="5">
        <v>2.0000000000000001E-4</v>
      </c>
      <c r="J81" s="5">
        <v>4.2000000000000003E-2</v>
      </c>
      <c r="K81" s="2">
        <v>36535973667.949997</v>
      </c>
      <c r="L81" s="3">
        <f>(K81/$K$89)</f>
        <v>0.12514542644441662</v>
      </c>
      <c r="M81" s="14">
        <v>255.41</v>
      </c>
      <c r="N81" s="14">
        <v>255.41</v>
      </c>
      <c r="O81" s="60">
        <v>11775</v>
      </c>
      <c r="P81" s="5">
        <v>2.0000000000000001E-4</v>
      </c>
      <c r="Q81" s="5">
        <v>4.2200000000000001E-2</v>
      </c>
      <c r="R81" s="81">
        <f t="shared" si="26"/>
        <v>-9.3326823503409192E-4</v>
      </c>
      <c r="S81" s="81">
        <f t="shared" si="27"/>
        <v>1.9580200501246453E-4</v>
      </c>
      <c r="T81" s="81">
        <f t="shared" si="28"/>
        <v>1.6988023443472353E-4</v>
      </c>
      <c r="U81" s="82">
        <f t="shared" si="29"/>
        <v>0</v>
      </c>
      <c r="V81" s="84">
        <f t="shared" si="30"/>
        <v>1.9999999999999879E-4</v>
      </c>
    </row>
    <row r="82" spans="1:29" ht="12.75" customHeight="1">
      <c r="A82" s="134">
        <v>71</v>
      </c>
      <c r="B82" s="120" t="s">
        <v>123</v>
      </c>
      <c r="C82" s="121" t="s">
        <v>42</v>
      </c>
      <c r="D82" s="2">
        <v>290593584.93000001</v>
      </c>
      <c r="E82" s="3">
        <f t="shared" si="31"/>
        <v>9.9387916869290928E-4</v>
      </c>
      <c r="F82" s="2">
        <v>5140.26</v>
      </c>
      <c r="G82" s="7">
        <v>5164.26</v>
      </c>
      <c r="H82" s="60">
        <v>1132</v>
      </c>
      <c r="I82" s="5">
        <v>1E-4</v>
      </c>
      <c r="J82" s="5">
        <v>0.21260000000000001</v>
      </c>
      <c r="K82" s="2">
        <v>291230669.94</v>
      </c>
      <c r="L82" s="3">
        <f t="shared" si="20"/>
        <v>9.975424964602951E-4</v>
      </c>
      <c r="M82" s="2">
        <v>5151.55</v>
      </c>
      <c r="N82" s="7">
        <v>5175.57</v>
      </c>
      <c r="O82" s="60">
        <v>1132</v>
      </c>
      <c r="P82" s="5">
        <v>2.2000000000000001E-3</v>
      </c>
      <c r="Q82" s="5">
        <v>0.2152</v>
      </c>
      <c r="R82" s="81">
        <f t="shared" si="26"/>
        <v>2.1923574470973112E-3</v>
      </c>
      <c r="S82" s="81">
        <f t="shared" si="27"/>
        <v>2.1900523986010563E-3</v>
      </c>
      <c r="T82" s="81">
        <f t="shared" si="28"/>
        <v>0</v>
      </c>
      <c r="U82" s="82">
        <f t="shared" si="29"/>
        <v>2.1000000000000003E-3</v>
      </c>
      <c r="V82" s="84">
        <f t="shared" si="30"/>
        <v>2.5999999999999912E-3</v>
      </c>
    </row>
    <row r="83" spans="1:29" ht="12.75" customHeight="1">
      <c r="A83" s="134">
        <v>72</v>
      </c>
      <c r="B83" s="120" t="s">
        <v>124</v>
      </c>
      <c r="C83" s="121" t="s">
        <v>42</v>
      </c>
      <c r="D83" s="2">
        <v>18775311231.849998</v>
      </c>
      <c r="E83" s="3">
        <f t="shared" si="31"/>
        <v>6.4214737305906974E-2</v>
      </c>
      <c r="F83" s="14">
        <v>124.82</v>
      </c>
      <c r="G83" s="14">
        <v>124.82</v>
      </c>
      <c r="H83" s="60">
        <v>5711</v>
      </c>
      <c r="I83" s="5">
        <v>1.9E-3</v>
      </c>
      <c r="J83" s="5">
        <v>8.5400000000000004E-2</v>
      </c>
      <c r="K83" s="2">
        <v>18715842938.169998</v>
      </c>
      <c r="L83" s="3">
        <f t="shared" si="20"/>
        <v>6.410673948505248E-2</v>
      </c>
      <c r="M83" s="14">
        <v>125.01</v>
      </c>
      <c r="N83" s="14">
        <v>125.01</v>
      </c>
      <c r="O83" s="60">
        <v>5719</v>
      </c>
      <c r="P83" s="5">
        <v>1.5E-3</v>
      </c>
      <c r="Q83" s="5">
        <v>8.6999999999999994E-2</v>
      </c>
      <c r="R83" s="81">
        <f t="shared" si="26"/>
        <v>-3.1673665989152651E-3</v>
      </c>
      <c r="S83" s="81">
        <f t="shared" si="27"/>
        <v>1.5221919564173366E-3</v>
      </c>
      <c r="T83" s="81">
        <f t="shared" si="28"/>
        <v>1.4008054631413063E-3</v>
      </c>
      <c r="U83" s="82">
        <f t="shared" si="29"/>
        <v>-3.9999999999999996E-4</v>
      </c>
      <c r="V83" s="84">
        <f t="shared" si="30"/>
        <v>1.5999999999999903E-3</v>
      </c>
    </row>
    <row r="84" spans="1:29" ht="12.75" customHeight="1">
      <c r="A84" s="134">
        <v>73</v>
      </c>
      <c r="B84" s="120" t="s">
        <v>125</v>
      </c>
      <c r="C84" s="121" t="s">
        <v>42</v>
      </c>
      <c r="D84" s="2">
        <v>13735068843.9</v>
      </c>
      <c r="E84" s="3">
        <f t="shared" si="31"/>
        <v>4.6976256574292746E-2</v>
      </c>
      <c r="F84" s="14">
        <v>349.79</v>
      </c>
      <c r="G84" s="14">
        <v>349.79</v>
      </c>
      <c r="H84" s="60">
        <v>17540</v>
      </c>
      <c r="I84" s="5">
        <v>1.9E-3</v>
      </c>
      <c r="J84" s="5">
        <v>5.2400000000000002E-2</v>
      </c>
      <c r="K84" s="2">
        <v>13773987848.030001</v>
      </c>
      <c r="L84" s="3">
        <f t="shared" si="20"/>
        <v>4.7179571529909231E-2</v>
      </c>
      <c r="M84" s="14">
        <v>350.25</v>
      </c>
      <c r="N84" s="14">
        <v>350.38</v>
      </c>
      <c r="O84" s="60">
        <v>17542</v>
      </c>
      <c r="P84" s="5">
        <v>1.2999999999999999E-3</v>
      </c>
      <c r="Q84" s="5">
        <v>5.3699999999999998E-2</v>
      </c>
      <c r="R84" s="81">
        <f t="shared" si="26"/>
        <v>2.8335499859751868E-3</v>
      </c>
      <c r="S84" s="81">
        <f t="shared" si="27"/>
        <v>1.6867263215071184E-3</v>
      </c>
      <c r="T84" s="81">
        <f t="shared" si="28"/>
        <v>1.1402508551881414E-4</v>
      </c>
      <c r="U84" s="82">
        <f t="shared" si="29"/>
        <v>-6.0000000000000006E-4</v>
      </c>
      <c r="V84" s="84">
        <f t="shared" si="30"/>
        <v>1.2999999999999956E-3</v>
      </c>
    </row>
    <row r="85" spans="1:29">
      <c r="A85" s="134">
        <v>74</v>
      </c>
      <c r="B85" s="120" t="s">
        <v>126</v>
      </c>
      <c r="C85" s="121" t="s">
        <v>45</v>
      </c>
      <c r="D85" s="2">
        <v>99728476085.25</v>
      </c>
      <c r="E85" s="3">
        <f t="shared" si="31"/>
        <v>0.34108824160896439</v>
      </c>
      <c r="F85" s="2">
        <v>1.9368000000000001</v>
      </c>
      <c r="G85" s="2">
        <v>1.9368000000000001</v>
      </c>
      <c r="H85" s="60">
        <v>6097</v>
      </c>
      <c r="I85" s="5">
        <v>1.4E-3</v>
      </c>
      <c r="J85" s="5">
        <v>6.1899999999999997E-2</v>
      </c>
      <c r="K85" s="2">
        <v>99458160565.600006</v>
      </c>
      <c r="L85" s="3">
        <f t="shared" si="20"/>
        <v>0.34067065053415474</v>
      </c>
      <c r="M85" s="2">
        <v>1.9396</v>
      </c>
      <c r="N85" s="2">
        <v>1.9396</v>
      </c>
      <c r="O85" s="60">
        <v>6099</v>
      </c>
      <c r="P85" s="5">
        <v>1.4E-3</v>
      </c>
      <c r="Q85" s="5">
        <v>6.3299999999999995E-2</v>
      </c>
      <c r="R85" s="81">
        <f t="shared" si="26"/>
        <v>-2.7105148926463343E-3</v>
      </c>
      <c r="S85" s="81">
        <f t="shared" si="27"/>
        <v>1.4456836018173862E-3</v>
      </c>
      <c r="T85" s="81">
        <f t="shared" si="28"/>
        <v>3.2803017877644741E-4</v>
      </c>
      <c r="U85" s="82">
        <f t="shared" si="29"/>
        <v>0</v>
      </c>
      <c r="V85" s="84">
        <f t="shared" si="30"/>
        <v>1.3999999999999985E-3</v>
      </c>
    </row>
    <row r="86" spans="1:29">
      <c r="A86" s="137">
        <v>75</v>
      </c>
      <c r="B86" s="120" t="s">
        <v>242</v>
      </c>
      <c r="C86" s="120" t="s">
        <v>243</v>
      </c>
      <c r="D86" s="2">
        <v>79441090.280000001</v>
      </c>
      <c r="E86" s="3">
        <f t="shared" si="31"/>
        <v>2.7170195373226803E-4</v>
      </c>
      <c r="F86" s="2">
        <v>100.7533674867004</v>
      </c>
      <c r="G86" s="2">
        <v>100.7533674867004</v>
      </c>
      <c r="H86" s="60">
        <v>44</v>
      </c>
      <c r="I86" s="5">
        <v>1.0637179395729275E-3</v>
      </c>
      <c r="J86" s="5">
        <v>7.4999999999999997E-3</v>
      </c>
      <c r="K86" s="2">
        <v>80098019.609999999</v>
      </c>
      <c r="L86" s="3">
        <f t="shared" si="20"/>
        <v>2.7435701899029553E-4</v>
      </c>
      <c r="M86" s="2">
        <v>100.91073066139133</v>
      </c>
      <c r="N86" s="2">
        <v>100.91073066139133</v>
      </c>
      <c r="O86" s="60">
        <v>46</v>
      </c>
      <c r="P86" s="5">
        <v>1.6000000000000001E-3</v>
      </c>
      <c r="Q86" s="5">
        <v>9.1000000000000004E-3</v>
      </c>
      <c r="R86" s="81">
        <f t="shared" ref="R86" si="35">((K86-D86)/D86)</f>
        <v>8.2693896531954563E-3</v>
      </c>
      <c r="S86" s="81">
        <f t="shared" ref="S86" si="36">((N86-G86)/G86)</f>
        <v>1.5618651625882451E-3</v>
      </c>
      <c r="T86" s="81">
        <f t="shared" ref="T86" si="37">((O86-H86)/H86)</f>
        <v>4.5454545454545456E-2</v>
      </c>
      <c r="U86" s="82">
        <f t="shared" ref="U86" si="38">P86-I86</f>
        <v>5.3628206042707254E-4</v>
      </c>
      <c r="V86" s="84">
        <f t="shared" ref="V86" si="39">Q86-J86</f>
        <v>1.6000000000000007E-3</v>
      </c>
    </row>
    <row r="87" spans="1:29" ht="15.75" customHeight="1">
      <c r="A87" s="129">
        <v>76</v>
      </c>
      <c r="B87" s="120" t="s">
        <v>127</v>
      </c>
      <c r="C87" s="121" t="s">
        <v>32</v>
      </c>
      <c r="D87" s="2">
        <v>9191986340.9206009</v>
      </c>
      <c r="E87" s="3">
        <f t="shared" si="31"/>
        <v>3.1438146665733913E-2</v>
      </c>
      <c r="F87" s="14">
        <v>1</v>
      </c>
      <c r="G87" s="14">
        <v>1</v>
      </c>
      <c r="H87" s="60">
        <v>5510</v>
      </c>
      <c r="I87" s="5">
        <v>0.06</v>
      </c>
      <c r="J87" s="5">
        <v>0.06</v>
      </c>
      <c r="K87" s="2">
        <v>9189379226.4193993</v>
      </c>
      <c r="L87" s="3">
        <f t="shared" si="20"/>
        <v>3.1476067738096906E-2</v>
      </c>
      <c r="M87" s="14">
        <v>1</v>
      </c>
      <c r="N87" s="14">
        <v>1</v>
      </c>
      <c r="O87" s="60">
        <v>5516</v>
      </c>
      <c r="P87" s="5">
        <v>0.06</v>
      </c>
      <c r="Q87" s="5">
        <v>0.06</v>
      </c>
      <c r="R87" s="81">
        <f t="shared" si="26"/>
        <v>-2.8362906606979582E-4</v>
      </c>
      <c r="S87" s="81">
        <f t="shared" si="27"/>
        <v>0</v>
      </c>
      <c r="T87" s="81">
        <f t="shared" si="28"/>
        <v>1.088929219600726E-3</v>
      </c>
      <c r="U87" s="82">
        <f t="shared" si="29"/>
        <v>0</v>
      </c>
      <c r="V87" s="84">
        <f t="shared" si="30"/>
        <v>0</v>
      </c>
    </row>
    <row r="88" spans="1:29">
      <c r="A88" s="128">
        <v>77</v>
      </c>
      <c r="B88" s="120" t="s">
        <v>128</v>
      </c>
      <c r="C88" s="121" t="s">
        <v>91</v>
      </c>
      <c r="D88" s="2">
        <v>2631195540.6900001</v>
      </c>
      <c r="E88" s="3">
        <f t="shared" si="31"/>
        <v>8.9991334023406134E-3</v>
      </c>
      <c r="F88" s="14">
        <v>25.251999999999999</v>
      </c>
      <c r="G88" s="14">
        <v>25.251999999999999</v>
      </c>
      <c r="H88" s="60">
        <v>1319</v>
      </c>
      <c r="I88" s="5">
        <v>0</v>
      </c>
      <c r="J88" s="5">
        <v>0.1051</v>
      </c>
      <c r="K88" s="2">
        <v>2634977347.27</v>
      </c>
      <c r="L88" s="3">
        <f t="shared" si="20"/>
        <v>9.0254981786553317E-3</v>
      </c>
      <c r="M88" s="14">
        <v>25.292999999999999</v>
      </c>
      <c r="N88" s="14">
        <v>25.292999999999999</v>
      </c>
      <c r="O88" s="60">
        <v>1318</v>
      </c>
      <c r="P88" s="5">
        <v>0</v>
      </c>
      <c r="Q88" s="5">
        <v>0.1052</v>
      </c>
      <c r="R88" s="81">
        <f t="shared" si="26"/>
        <v>1.4372959065627594E-3</v>
      </c>
      <c r="S88" s="81">
        <f t="shared" si="27"/>
        <v>1.6236337715824637E-3</v>
      </c>
      <c r="T88" s="81">
        <f t="shared" si="28"/>
        <v>-7.5815011372251705E-4</v>
      </c>
      <c r="U88" s="82">
        <f t="shared" si="29"/>
        <v>0</v>
      </c>
      <c r="V88" s="84">
        <f t="shared" si="30"/>
        <v>1.0000000000000286E-4</v>
      </c>
    </row>
    <row r="89" spans="1:29">
      <c r="A89" s="76"/>
      <c r="B89" s="19"/>
      <c r="C89" s="72" t="s">
        <v>46</v>
      </c>
      <c r="D89" s="59">
        <f>SUM(D58:D88)</f>
        <v>292383213255.36121</v>
      </c>
      <c r="E89" s="105">
        <f>(D89/$D$176)</f>
        <v>0.14447253744823393</v>
      </c>
      <c r="F89" s="30"/>
      <c r="G89" s="11"/>
      <c r="H89" s="66">
        <f>SUM(H58:H88)</f>
        <v>64044</v>
      </c>
      <c r="I89" s="12"/>
      <c r="J89" s="12"/>
      <c r="K89" s="59">
        <f>SUM(K58:K88)</f>
        <v>291948133511.51477</v>
      </c>
      <c r="L89" s="105">
        <f>(K89/$K$176)</f>
        <v>0.13768659682535175</v>
      </c>
      <c r="M89" s="30"/>
      <c r="N89" s="11"/>
      <c r="O89" s="66">
        <f>SUM(O58:O88)</f>
        <v>64112</v>
      </c>
      <c r="P89" s="12"/>
      <c r="Q89" s="12"/>
      <c r="R89" s="81">
        <f t="shared" si="26"/>
        <v>-1.4880462493120159E-3</v>
      </c>
      <c r="S89" s="81" t="e">
        <f t="shared" si="27"/>
        <v>#DIV/0!</v>
      </c>
      <c r="T89" s="81">
        <f t="shared" si="28"/>
        <v>1.0617700331022422E-3</v>
      </c>
      <c r="U89" s="82">
        <f t="shared" si="29"/>
        <v>0</v>
      </c>
      <c r="V89" s="84">
        <f t="shared" si="30"/>
        <v>0</v>
      </c>
    </row>
    <row r="90" spans="1:29" ht="8.25" customHeight="1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</row>
    <row r="91" spans="1:29" ht="15" customHeight="1">
      <c r="A91" s="140" t="s">
        <v>129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</row>
    <row r="92" spans="1:29">
      <c r="A92" s="141" t="s">
        <v>231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Z92" s="99"/>
      <c r="AA92" s="99"/>
      <c r="AB92" s="108"/>
      <c r="AC92" s="99"/>
    </row>
    <row r="93" spans="1:29" ht="16.5" customHeight="1">
      <c r="A93" s="129">
        <v>78</v>
      </c>
      <c r="B93" s="120" t="s">
        <v>130</v>
      </c>
      <c r="C93" s="121" t="s">
        <v>17</v>
      </c>
      <c r="D93" s="2">
        <v>1399401323.25</v>
      </c>
      <c r="E93" s="3">
        <f>(D93/$D$116)</f>
        <v>2.1430452672451536E-3</v>
      </c>
      <c r="F93" s="2">
        <f>109.6154*806.108</f>
        <v>88361.850863199987</v>
      </c>
      <c r="G93" s="2">
        <f>109.6154*806.108</f>
        <v>88361.850863199987</v>
      </c>
      <c r="H93" s="60">
        <v>227</v>
      </c>
      <c r="I93" s="5">
        <v>1.5E-3</v>
      </c>
      <c r="J93" s="5">
        <v>5.8999999999999997E-2</v>
      </c>
      <c r="K93" s="2">
        <v>1665511319.48</v>
      </c>
      <c r="L93" s="3">
        <f t="shared" ref="L93:L104" si="40">(K93/$K$116)</f>
        <v>2.2222010346723553E-3</v>
      </c>
      <c r="M93" s="2">
        <f>109.7295*953.139</f>
        <v>104587.4659005</v>
      </c>
      <c r="N93" s="2">
        <f>109.7295*953.139</f>
        <v>104587.4659005</v>
      </c>
      <c r="O93" s="60">
        <v>227</v>
      </c>
      <c r="P93" s="5">
        <v>1E-3</v>
      </c>
      <c r="Q93" s="5">
        <v>6.0100000000000001E-2</v>
      </c>
      <c r="R93" s="82">
        <f t="shared" ref="R93" si="41">((K93-D93)/D93)</f>
        <v>0.19015988609470541</v>
      </c>
      <c r="S93" s="82">
        <f t="shared" ref="S93" si="42">((N93-G93)/G93)</f>
        <v>0.18362692585989601</v>
      </c>
      <c r="T93" s="82">
        <f t="shared" ref="T93" si="43">((O93-H93)/H93)</f>
        <v>0</v>
      </c>
      <c r="U93" s="82">
        <f t="shared" ref="U93" si="44">P93-I93</f>
        <v>-5.0000000000000001E-4</v>
      </c>
      <c r="V93" s="84">
        <f t="shared" ref="V93" si="45">Q93-J93</f>
        <v>1.1000000000000038E-3</v>
      </c>
      <c r="Z93" s="99"/>
      <c r="AA93" s="109"/>
      <c r="AB93" s="99"/>
      <c r="AC93" s="99"/>
    </row>
    <row r="94" spans="1:29">
      <c r="A94" s="134">
        <v>79</v>
      </c>
      <c r="B94" s="120" t="s">
        <v>131</v>
      </c>
      <c r="C94" s="121" t="s">
        <v>21</v>
      </c>
      <c r="D94" s="2">
        <f>10340321.2*805.608</f>
        <v>8330245481.2895985</v>
      </c>
      <c r="E94" s="3">
        <f>(D94/$D$116)</f>
        <v>1.2756950316588177E-2</v>
      </c>
      <c r="F94" s="2">
        <f>1.1683*805.608</f>
        <v>941.19182639999985</v>
      </c>
      <c r="G94" s="2">
        <f>1.1683*805.608</f>
        <v>941.19182639999985</v>
      </c>
      <c r="H94" s="60">
        <v>277</v>
      </c>
      <c r="I94" s="5">
        <v>4.9099999999999998E-2</v>
      </c>
      <c r="J94" s="5">
        <v>4.2500000000000003E-2</v>
      </c>
      <c r="K94" s="2">
        <f>10341678.41*952.639</f>
        <v>9851886178.8239899</v>
      </c>
      <c r="L94" s="3">
        <f t="shared" si="40"/>
        <v>1.3144835104988815E-2</v>
      </c>
      <c r="M94" s="2">
        <f>1.1699*952.639</f>
        <v>1114.4923661</v>
      </c>
      <c r="N94" s="2">
        <f>1.1699*952.639</f>
        <v>1114.4923661</v>
      </c>
      <c r="O94" s="60">
        <v>276</v>
      </c>
      <c r="P94" s="5">
        <v>7.1400000000000005E-2</v>
      </c>
      <c r="Q94" s="5">
        <v>4.3200000000000002E-2</v>
      </c>
      <c r="R94" s="82">
        <f t="shared" ref="R94:R104" si="46">((K94-D94)/D94)</f>
        <v>0.18266456864351943</v>
      </c>
      <c r="S94" s="82">
        <f t="shared" ref="S94:S104" si="47">((N94-G94)/G94)</f>
        <v>0.184128819268293</v>
      </c>
      <c r="T94" s="82">
        <f t="shared" ref="T94:T104" si="48">((O94-H94)/H94)</f>
        <v>-3.6101083032490976E-3</v>
      </c>
      <c r="U94" s="82">
        <f t="shared" ref="U94:U104" si="49">P94-I94</f>
        <v>2.2300000000000007E-2</v>
      </c>
      <c r="V94" s="84">
        <f t="shared" ref="V94:V104" si="50">Q94-J94</f>
        <v>6.9999999999999923E-4</v>
      </c>
      <c r="Z94" s="99"/>
      <c r="AA94" s="99"/>
      <c r="AB94" s="99"/>
      <c r="AC94" s="99"/>
    </row>
    <row r="95" spans="1:29">
      <c r="A95" s="131">
        <v>80</v>
      </c>
      <c r="B95" s="120" t="s">
        <v>244</v>
      </c>
      <c r="C95" s="121" t="s">
        <v>25</v>
      </c>
      <c r="D95" s="2">
        <f>341113.81*808.108</f>
        <v>275656798.77147996</v>
      </c>
      <c r="E95" s="3">
        <v>0</v>
      </c>
      <c r="F95" s="2">
        <f>1.0916*806.108</f>
        <v>879.94749279999985</v>
      </c>
      <c r="G95" s="2">
        <f>1.0916*806.108</f>
        <v>879.94749279999985</v>
      </c>
      <c r="H95" s="60">
        <v>17</v>
      </c>
      <c r="I95" s="5">
        <v>1.83E-4</v>
      </c>
      <c r="J95" s="5">
        <v>9.1999999999999998E-2</v>
      </c>
      <c r="K95" s="2">
        <f>351514.62*953.139</f>
        <v>335042293.39218003</v>
      </c>
      <c r="L95" s="3">
        <f t="shared" si="40"/>
        <v>4.4702868261955504E-4</v>
      </c>
      <c r="M95" s="2">
        <f>1.0929*953.139</f>
        <v>1041.6856131</v>
      </c>
      <c r="N95" s="2">
        <f>1.0929*953.139</f>
        <v>1041.6856131</v>
      </c>
      <c r="O95" s="60">
        <v>18</v>
      </c>
      <c r="P95" s="5">
        <v>1.85E-4</v>
      </c>
      <c r="Q95" s="5">
        <v>9.2700000000000005E-2</v>
      </c>
      <c r="R95" s="82">
        <f t="shared" ref="R95" si="51">((K95-D95)/D95)</f>
        <v>0.21543272244821632</v>
      </c>
      <c r="S95" s="82">
        <f t="shared" ref="S95" si="52">((N95-G95)/G95)</f>
        <v>0.18380428562316614</v>
      </c>
      <c r="T95" s="82">
        <f t="shared" ref="T95" si="53">((O95-H95)/H95)</f>
        <v>5.8823529411764705E-2</v>
      </c>
      <c r="U95" s="82">
        <f t="shared" ref="U95" si="54">P95-I95</f>
        <v>1.9999999999999944E-6</v>
      </c>
      <c r="V95" s="84">
        <f t="shared" si="50"/>
        <v>7.0000000000000617E-4</v>
      </c>
      <c r="Z95" s="99"/>
      <c r="AA95" s="99"/>
      <c r="AB95" s="99"/>
      <c r="AC95" s="99"/>
    </row>
    <row r="96" spans="1:29">
      <c r="A96" s="134">
        <v>81</v>
      </c>
      <c r="B96" s="120" t="s">
        <v>140</v>
      </c>
      <c r="C96" s="121" t="s">
        <v>64</v>
      </c>
      <c r="D96" s="2">
        <f>286033.2*806.108</f>
        <v>230573650.78560001</v>
      </c>
      <c r="E96" s="3">
        <f t="shared" ref="E96:E104" si="55">(D96/$D$116)</f>
        <v>3.5310083166131302E-4</v>
      </c>
      <c r="F96" s="2">
        <f>101.34*806.108</f>
        <v>81690.984719999993</v>
      </c>
      <c r="G96" s="2">
        <f>101.34*806.108</f>
        <v>81690.984719999993</v>
      </c>
      <c r="H96" s="60">
        <v>32</v>
      </c>
      <c r="I96" s="5">
        <v>5.9999999999999995E-4</v>
      </c>
      <c r="J96" s="5">
        <v>1.6400000000000001E-2</v>
      </c>
      <c r="K96" s="2">
        <f>292740.53*953.139</f>
        <v>279022416.02367002</v>
      </c>
      <c r="L96" s="3">
        <f t="shared" si="40"/>
        <v>3.722844115992966E-4</v>
      </c>
      <c r="M96" s="2">
        <f>101.58*953.139</f>
        <v>96819.859620000003</v>
      </c>
      <c r="N96" s="2">
        <f>102.21*953.139</f>
        <v>97420.337189999991</v>
      </c>
      <c r="O96" s="60">
        <v>34</v>
      </c>
      <c r="P96" s="5">
        <v>2.5000000000000001E-3</v>
      </c>
      <c r="Q96" s="5">
        <v>1.89E-2</v>
      </c>
      <c r="R96" s="82">
        <f t="shared" ref="R96" si="56">((K96-D96)/D96)</f>
        <v>0.21012273116636523</v>
      </c>
      <c r="S96" s="82">
        <f t="shared" ref="S96" si="57">((N96-G96)/G96)</f>
        <v>0.19254698084388569</v>
      </c>
      <c r="T96" s="82">
        <f t="shared" ref="T96" si="58">((O96-H96)/H96)</f>
        <v>6.25E-2</v>
      </c>
      <c r="U96" s="82">
        <f t="shared" ref="U96" si="59">P96-I96</f>
        <v>1.9000000000000002E-3</v>
      </c>
      <c r="V96" s="84">
        <f t="shared" ref="V96" si="60">Q96-J96</f>
        <v>2.4999999999999988E-3</v>
      </c>
      <c r="Z96" s="99"/>
      <c r="AA96" s="99"/>
      <c r="AB96" s="99"/>
      <c r="AC96" s="99"/>
    </row>
    <row r="97" spans="1:24">
      <c r="A97" s="131">
        <v>82</v>
      </c>
      <c r="B97" s="120" t="s">
        <v>132</v>
      </c>
      <c r="C97" s="121" t="s">
        <v>67</v>
      </c>
      <c r="D97" s="2">
        <v>2092794873.4765596</v>
      </c>
      <c r="E97" s="3">
        <f t="shared" si="55"/>
        <v>3.2049091810938887E-3</v>
      </c>
      <c r="F97" s="2">
        <v>86130.221475999992</v>
      </c>
      <c r="G97" s="2">
        <v>86130.221475999992</v>
      </c>
      <c r="H97" s="60">
        <v>44</v>
      </c>
      <c r="I97" s="5">
        <v>1.9880902142822626E-3</v>
      </c>
      <c r="J97" s="5">
        <v>5.7837945927424944E-2</v>
      </c>
      <c r="K97" s="2">
        <v>2512307252.0135698</v>
      </c>
      <c r="L97" s="3">
        <f t="shared" si="40"/>
        <v>3.3520347232359098E-3</v>
      </c>
      <c r="M97" s="2">
        <v>101962.04452499999</v>
      </c>
      <c r="N97" s="2">
        <v>101962.04452499999</v>
      </c>
      <c r="O97" s="60">
        <v>44</v>
      </c>
      <c r="P97" s="5">
        <v>1.1979746740666572E-3</v>
      </c>
      <c r="Q97" s="5">
        <v>5.7957843221637932E-2</v>
      </c>
      <c r="R97" s="82">
        <f t="shared" si="46"/>
        <v>0.20045556487823121</v>
      </c>
      <c r="S97" s="82">
        <f t="shared" si="47"/>
        <v>0.1838126360027009</v>
      </c>
      <c r="T97" s="82">
        <f t="shared" si="48"/>
        <v>0</v>
      </c>
      <c r="U97" s="82">
        <f t="shared" si="49"/>
        <v>-7.9011554021560541E-4</v>
      </c>
      <c r="V97" s="84">
        <f t="shared" si="50"/>
        <v>1.1989729421298806E-4</v>
      </c>
      <c r="X97" s="65">
        <v>953.13900000000001</v>
      </c>
    </row>
    <row r="98" spans="1:24">
      <c r="A98" s="128">
        <v>83</v>
      </c>
      <c r="B98" s="120" t="s">
        <v>133</v>
      </c>
      <c r="C98" s="121" t="s">
        <v>27</v>
      </c>
      <c r="D98" s="2">
        <v>22673147868.470001</v>
      </c>
      <c r="E98" s="3">
        <f t="shared" si="55"/>
        <v>3.4721692359293101E-2</v>
      </c>
      <c r="F98" s="2">
        <v>97787.37</v>
      </c>
      <c r="G98" s="2">
        <v>97787.37</v>
      </c>
      <c r="H98" s="60">
        <v>1971</v>
      </c>
      <c r="I98" s="5">
        <v>1.5E-3</v>
      </c>
      <c r="J98" s="5">
        <v>7.46E-2</v>
      </c>
      <c r="K98" s="2">
        <v>26446824053.860001</v>
      </c>
      <c r="L98" s="3">
        <f t="shared" si="40"/>
        <v>3.5286556800247046E-2</v>
      </c>
      <c r="M98" s="2">
        <v>114229.81</v>
      </c>
      <c r="N98" s="2">
        <v>114229.81</v>
      </c>
      <c r="O98" s="60">
        <v>1974</v>
      </c>
      <c r="P98" s="5">
        <v>1.5E-3</v>
      </c>
      <c r="Q98" s="5">
        <v>7.3899999999999993E-2</v>
      </c>
      <c r="R98" s="82">
        <f t="shared" si="46"/>
        <v>0.16643812351428242</v>
      </c>
      <c r="S98" s="82">
        <f t="shared" si="47"/>
        <v>0.16814482279255494</v>
      </c>
      <c r="T98" s="82">
        <f t="shared" si="48"/>
        <v>1.5220700152207001E-3</v>
      </c>
      <c r="U98" s="82">
        <f t="shared" si="49"/>
        <v>0</v>
      </c>
      <c r="V98" s="84">
        <f t="shared" si="50"/>
        <v>-7.0000000000000617E-4</v>
      </c>
    </row>
    <row r="99" spans="1:24">
      <c r="A99" s="128">
        <v>84</v>
      </c>
      <c r="B99" s="130" t="s">
        <v>134</v>
      </c>
      <c r="C99" s="130" t="s">
        <v>27</v>
      </c>
      <c r="D99" s="2">
        <v>21386021038.869999</v>
      </c>
      <c r="E99" s="3">
        <f t="shared" si="55"/>
        <v>3.2750584418568533E-2</v>
      </c>
      <c r="F99" s="2">
        <v>88042.02</v>
      </c>
      <c r="G99" s="2">
        <v>88042.02</v>
      </c>
      <c r="H99" s="60">
        <v>189</v>
      </c>
      <c r="I99" s="5">
        <v>2E-3</v>
      </c>
      <c r="J99" s="5">
        <v>9.5299999999999996E-2</v>
      </c>
      <c r="K99" s="2">
        <v>25515098080.470001</v>
      </c>
      <c r="L99" s="3">
        <f t="shared" si="40"/>
        <v>3.4043405584232016E-2</v>
      </c>
      <c r="M99" s="2">
        <v>102890.27</v>
      </c>
      <c r="N99" s="2">
        <v>102890.27</v>
      </c>
      <c r="O99" s="60">
        <v>201</v>
      </c>
      <c r="P99" s="5">
        <v>1.9E-3</v>
      </c>
      <c r="Q99" s="5">
        <v>9.1700000000000004E-2</v>
      </c>
      <c r="R99" s="82">
        <f t="shared" si="46"/>
        <v>0.19307364535437563</v>
      </c>
      <c r="S99" s="82">
        <f t="shared" si="47"/>
        <v>0.16864958346026135</v>
      </c>
      <c r="T99" s="82">
        <f t="shared" si="48"/>
        <v>6.3492063492063489E-2</v>
      </c>
      <c r="U99" s="82">
        <f t="shared" si="49"/>
        <v>-1.0000000000000005E-4</v>
      </c>
      <c r="V99" s="84">
        <f t="shared" si="50"/>
        <v>-3.5999999999999921E-3</v>
      </c>
    </row>
    <row r="100" spans="1:24">
      <c r="A100" s="137">
        <v>85</v>
      </c>
      <c r="B100" s="120" t="s">
        <v>135</v>
      </c>
      <c r="C100" s="121" t="s">
        <v>31</v>
      </c>
      <c r="D100" s="2">
        <f>90864.36*806.108</f>
        <v>73246487.510879993</v>
      </c>
      <c r="E100" s="3">
        <f t="shared" si="55"/>
        <v>1.1216977988699543E-4</v>
      </c>
      <c r="F100" s="2">
        <f>109.51*806.108</f>
        <v>88276.88708</v>
      </c>
      <c r="G100" s="2">
        <f>109.51*806.108</f>
        <v>88276.88708</v>
      </c>
      <c r="H100" s="60">
        <v>3</v>
      </c>
      <c r="I100" s="5">
        <v>2E-3</v>
      </c>
      <c r="J100" s="5">
        <v>0.104</v>
      </c>
      <c r="K100" s="2">
        <f>92070.46*953.139</f>
        <v>87755946.173940003</v>
      </c>
      <c r="L100" s="3">
        <f t="shared" si="40"/>
        <v>1.170879789921012E-4</v>
      </c>
      <c r="M100" s="2">
        <f>109.75*953.139</f>
        <v>104607.00525</v>
      </c>
      <c r="N100" s="2">
        <f>109.75*953.139</f>
        <v>104607.00525</v>
      </c>
      <c r="O100" s="60">
        <v>3</v>
      </c>
      <c r="P100" s="5">
        <v>1.3299999999999999E-2</v>
      </c>
      <c r="Q100" s="5">
        <v>0.11899999999999999</v>
      </c>
      <c r="R100" s="82">
        <f t="shared" si="46"/>
        <v>0.19809084580205683</v>
      </c>
      <c r="S100" s="82">
        <f t="shared" si="47"/>
        <v>0.18498747192117235</v>
      </c>
      <c r="T100" s="82">
        <f t="shared" si="48"/>
        <v>0</v>
      </c>
      <c r="U100" s="82">
        <f t="shared" si="49"/>
        <v>1.1299999999999999E-2</v>
      </c>
      <c r="V100" s="84">
        <f t="shared" si="50"/>
        <v>1.4999999999999999E-2</v>
      </c>
    </row>
    <row r="101" spans="1:24">
      <c r="A101" s="129">
        <v>86</v>
      </c>
      <c r="B101" s="120" t="s">
        <v>136</v>
      </c>
      <c r="C101" s="121" t="s">
        <v>34</v>
      </c>
      <c r="D101" s="2">
        <f>12812167.65*806.108</f>
        <v>10327990840.006199</v>
      </c>
      <c r="E101" s="3">
        <f t="shared" si="55"/>
        <v>1.5816300529446128E-2</v>
      </c>
      <c r="F101" s="2">
        <f>1.32*806.108</f>
        <v>1064.0625600000001</v>
      </c>
      <c r="G101" s="2">
        <f>1.32*806.108</f>
        <v>1064.0625600000001</v>
      </c>
      <c r="H101" s="61">
        <v>119</v>
      </c>
      <c r="I101" s="12">
        <v>3.0099999999999998E-2</v>
      </c>
      <c r="J101" s="12">
        <v>5.2400000000000002E-2</v>
      </c>
      <c r="K101" s="2">
        <f>12848139.52*953.139</f>
        <v>12246062853.953279</v>
      </c>
      <c r="L101" s="3">
        <f t="shared" si="40"/>
        <v>1.6339254633954747E-2</v>
      </c>
      <c r="M101" s="2">
        <f>1.32*953.139</f>
        <v>1258.1434800000002</v>
      </c>
      <c r="N101" s="2">
        <f>1.32*953.139</f>
        <v>1258.1434800000002</v>
      </c>
      <c r="O101" s="61">
        <v>117</v>
      </c>
      <c r="P101" s="12">
        <v>2.9700000000000001E-2</v>
      </c>
      <c r="Q101" s="12">
        <v>5.0900000000000001E-2</v>
      </c>
      <c r="R101" s="82">
        <f t="shared" si="46"/>
        <v>0.18571589030823824</v>
      </c>
      <c r="S101" s="82">
        <f t="shared" si="47"/>
        <v>0.18239615535387327</v>
      </c>
      <c r="T101" s="82">
        <f t="shared" si="48"/>
        <v>-1.680672268907563E-2</v>
      </c>
      <c r="U101" s="82">
        <f t="shared" si="49"/>
        <v>-3.9999999999999758E-4</v>
      </c>
      <c r="V101" s="84">
        <f t="shared" si="50"/>
        <v>-1.5000000000000013E-3</v>
      </c>
    </row>
    <row r="102" spans="1:24">
      <c r="A102" s="129">
        <v>87</v>
      </c>
      <c r="B102" s="120" t="s">
        <v>137</v>
      </c>
      <c r="C102" s="121" t="s">
        <v>78</v>
      </c>
      <c r="D102" s="2">
        <f>7744526.18*806.108</f>
        <v>6242924509.9074392</v>
      </c>
      <c r="E102" s="3">
        <f t="shared" si="55"/>
        <v>9.5604238773009959E-3</v>
      </c>
      <c r="F102" s="2">
        <f>102.95*806.108</f>
        <v>82988.818599999999</v>
      </c>
      <c r="G102" s="2">
        <f>102.95*806.108</f>
        <v>82988.818599999999</v>
      </c>
      <c r="H102" s="60">
        <v>213</v>
      </c>
      <c r="I102" s="5">
        <v>2E-3</v>
      </c>
      <c r="J102" s="5">
        <v>8.5900000000000004E-2</v>
      </c>
      <c r="K102" s="2">
        <f>7869620.4*953.139</f>
        <v>7500842118.4356003</v>
      </c>
      <c r="L102" s="3">
        <f t="shared" si="40"/>
        <v>1.0007965074476776E-2</v>
      </c>
      <c r="M102" s="2">
        <f>103.15*953.139</f>
        <v>98316.287850000008</v>
      </c>
      <c r="N102" s="2">
        <f>103.15*953.139</f>
        <v>98316.287850000008</v>
      </c>
      <c r="O102" s="60">
        <v>219</v>
      </c>
      <c r="P102" s="5">
        <v>1.9E-3</v>
      </c>
      <c r="Q102" s="5">
        <v>8.7900000000000006E-2</v>
      </c>
      <c r="R102" s="82">
        <f t="shared" si="46"/>
        <v>0.20149492542026776</v>
      </c>
      <c r="S102" s="82">
        <f t="shared" si="47"/>
        <v>0.18469318528170986</v>
      </c>
      <c r="T102" s="82">
        <f t="shared" si="48"/>
        <v>2.8169014084507043E-2</v>
      </c>
      <c r="U102" s="82">
        <f t="shared" si="49"/>
        <v>-1.0000000000000005E-4</v>
      </c>
      <c r="V102" s="84">
        <f t="shared" si="50"/>
        <v>2.0000000000000018E-3</v>
      </c>
    </row>
    <row r="103" spans="1:24">
      <c r="A103" s="132">
        <v>88</v>
      </c>
      <c r="B103" s="120" t="s">
        <v>138</v>
      </c>
      <c r="C103" s="121" t="s">
        <v>38</v>
      </c>
      <c r="D103" s="2">
        <f>1797143.64*806.108</f>
        <v>1448691865.3531199</v>
      </c>
      <c r="E103" s="3">
        <f t="shared" si="55"/>
        <v>2.2185288767137493E-3</v>
      </c>
      <c r="F103" s="2">
        <f>128.61*806.108</f>
        <v>103673.54988000001</v>
      </c>
      <c r="G103" s="2">
        <f>131.61*806.108</f>
        <v>106091.87388</v>
      </c>
      <c r="H103" s="60">
        <v>45</v>
      </c>
      <c r="I103" s="5">
        <v>4.0000000000000002E-4</v>
      </c>
      <c r="J103" s="5">
        <v>0.1542</v>
      </c>
      <c r="K103" s="2">
        <f>1789501.88*953.139</f>
        <v>1705644032.40132</v>
      </c>
      <c r="L103" s="3">
        <f t="shared" si="40"/>
        <v>2.2757479275303458E-3</v>
      </c>
      <c r="M103" s="2">
        <f>128.06*953.139</f>
        <v>122058.98034000001</v>
      </c>
      <c r="N103" s="2">
        <f>131.08*953.139</f>
        <v>124937.46012000002</v>
      </c>
      <c r="O103" s="60">
        <v>45</v>
      </c>
      <c r="P103" s="5">
        <v>4.0000000000000002E-4</v>
      </c>
      <c r="Q103" s="5">
        <v>0.14940000000000001</v>
      </c>
      <c r="R103" s="82">
        <f t="shared" si="46"/>
        <v>0.17736840607272122</v>
      </c>
      <c r="S103" s="82">
        <f t="shared" si="47"/>
        <v>0.17763458737015211</v>
      </c>
      <c r="T103" s="82">
        <f t="shared" si="48"/>
        <v>0</v>
      </c>
      <c r="U103" s="82">
        <f t="shared" si="49"/>
        <v>0</v>
      </c>
      <c r="V103" s="84">
        <f t="shared" si="50"/>
        <v>-4.7999999999999987E-3</v>
      </c>
    </row>
    <row r="104" spans="1:24" ht="16.5" customHeight="1">
      <c r="A104" s="134">
        <v>89</v>
      </c>
      <c r="B104" s="120" t="s">
        <v>139</v>
      </c>
      <c r="C104" s="121" t="s">
        <v>45</v>
      </c>
      <c r="D104" s="2">
        <v>117447198105.27</v>
      </c>
      <c r="E104" s="3">
        <f t="shared" si="55"/>
        <v>0.17985881381486887</v>
      </c>
      <c r="F104" s="2">
        <v>98296.34</v>
      </c>
      <c r="G104" s="2">
        <v>98296.34</v>
      </c>
      <c r="H104" s="60">
        <v>2966</v>
      </c>
      <c r="I104" s="5">
        <v>1E-3</v>
      </c>
      <c r="J104" s="5">
        <v>4.99E-2</v>
      </c>
      <c r="K104" s="2">
        <v>134382816553.81799</v>
      </c>
      <c r="L104" s="3">
        <f t="shared" si="40"/>
        <v>0.1792996724161055</v>
      </c>
      <c r="M104" s="2">
        <v>114773.42</v>
      </c>
      <c r="N104" s="2">
        <v>114773.42</v>
      </c>
      <c r="O104" s="60">
        <v>2969</v>
      </c>
      <c r="P104" s="5">
        <v>1E-3</v>
      </c>
      <c r="Q104" s="5">
        <v>5.0900000000000001E-2</v>
      </c>
      <c r="R104" s="82">
        <f t="shared" si="46"/>
        <v>0.14419772222550847</v>
      </c>
      <c r="S104" s="82">
        <f t="shared" si="47"/>
        <v>0.16762658711402686</v>
      </c>
      <c r="T104" s="82">
        <f t="shared" si="48"/>
        <v>1.0114632501685772E-3</v>
      </c>
      <c r="U104" s="82">
        <f t="shared" si="49"/>
        <v>0</v>
      </c>
      <c r="V104" s="84">
        <f t="shared" si="50"/>
        <v>1.0000000000000009E-3</v>
      </c>
    </row>
    <row r="105" spans="1:24" ht="6" customHeight="1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</row>
    <row r="106" spans="1:24">
      <c r="A106" s="141" t="s">
        <v>232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</row>
    <row r="107" spans="1:24">
      <c r="A107" s="126">
        <v>90</v>
      </c>
      <c r="B107" s="120" t="s">
        <v>141</v>
      </c>
      <c r="C107" s="121" t="s">
        <v>97</v>
      </c>
      <c r="D107" s="4">
        <v>748515532.35000002</v>
      </c>
      <c r="E107" s="3">
        <f>(D107/$D$116)</f>
        <v>1.146277799235427E-3</v>
      </c>
      <c r="F107" s="2">
        <v>78291.28</v>
      </c>
      <c r="G107" s="2">
        <v>78291.28</v>
      </c>
      <c r="H107" s="60">
        <v>27</v>
      </c>
      <c r="I107" s="5">
        <v>3.2000000000000002E-3</v>
      </c>
      <c r="J107" s="5">
        <v>0.1226</v>
      </c>
      <c r="K107" s="4">
        <v>769958246.04999995</v>
      </c>
      <c r="L107" s="3">
        <f t="shared" ref="L107:L115" si="61">(K107/$K$116)</f>
        <v>1.027313348768488E-3</v>
      </c>
      <c r="M107" s="2">
        <v>79249.98</v>
      </c>
      <c r="N107" s="2">
        <v>79249.98</v>
      </c>
      <c r="O107" s="60">
        <v>27</v>
      </c>
      <c r="P107" s="5">
        <v>1.2200000000000001E-2</v>
      </c>
      <c r="Q107" s="5">
        <v>0.1358</v>
      </c>
      <c r="R107" s="82">
        <f t="shared" ref="R107" si="62">((K107-D107)/D107)</f>
        <v>2.8646985631252717E-2</v>
      </c>
      <c r="S107" s="82">
        <f t="shared" ref="S107" si="63">((N107-G107)/G107)</f>
        <v>1.2245297305140459E-2</v>
      </c>
      <c r="T107" s="82">
        <f t="shared" ref="T107" si="64">((O107-H107)/H107)</f>
        <v>0</v>
      </c>
      <c r="U107" s="82">
        <f t="shared" ref="U107" si="65">P107-I107</f>
        <v>9.0000000000000011E-3</v>
      </c>
      <c r="V107" s="84">
        <f t="shared" ref="V107" si="66">Q107-J107</f>
        <v>1.3200000000000003E-2</v>
      </c>
    </row>
    <row r="108" spans="1:24">
      <c r="A108" s="132">
        <v>91</v>
      </c>
      <c r="B108" s="121" t="s">
        <v>142</v>
      </c>
      <c r="C108" s="121" t="s">
        <v>23</v>
      </c>
      <c r="D108" s="2">
        <f>6565326.54*806.108</f>
        <v>5292362246.50632</v>
      </c>
      <c r="E108" s="3">
        <f>(D108/$K$116)</f>
        <v>7.0613106752820728E-3</v>
      </c>
      <c r="F108" s="4">
        <f>130.97*806.108</f>
        <v>105575.96475999999</v>
      </c>
      <c r="G108" s="4">
        <f>130.97*806.108</f>
        <v>105575.96475999999</v>
      </c>
      <c r="H108" s="60">
        <v>333</v>
      </c>
      <c r="I108" s="5">
        <v>5.0000000000000001E-4</v>
      </c>
      <c r="J108" s="5">
        <v>5.3400000000000003E-2</v>
      </c>
      <c r="K108" s="2">
        <f>6589484.97*953.139</f>
        <v>6280695114.8208294</v>
      </c>
      <c r="L108" s="3">
        <f t="shared" si="61"/>
        <v>8.3799893878680146E-3</v>
      </c>
      <c r="M108" s="4">
        <f>131.12*953.139</f>
        <v>124975.58568</v>
      </c>
      <c r="N108" s="4">
        <f>131.12*953.139</f>
        <v>124975.58568</v>
      </c>
      <c r="O108" s="60">
        <v>333</v>
      </c>
      <c r="P108" s="5">
        <v>5.0000000000000001E-4</v>
      </c>
      <c r="Q108" s="5">
        <v>5.4600000000000003E-2</v>
      </c>
      <c r="R108" s="82">
        <f t="shared" ref="R108:R116" si="67">((K108-D108)/D108)</f>
        <v>0.18674701811406499</v>
      </c>
      <c r="S108" s="82">
        <f t="shared" ref="S108:S116" si="68">((N108-G108)/G108)</f>
        <v>0.1837503542032517</v>
      </c>
      <c r="T108" s="82">
        <f t="shared" ref="T108:T116" si="69">((O108-H108)/H108)</f>
        <v>0</v>
      </c>
      <c r="U108" s="82">
        <f t="shared" ref="U108:U116" si="70">P108-I108</f>
        <v>0</v>
      </c>
      <c r="V108" s="84">
        <f t="shared" ref="V108:V116" si="71">Q108-J108</f>
        <v>1.1999999999999997E-3</v>
      </c>
    </row>
    <row r="109" spans="1:24">
      <c r="A109" s="135">
        <v>92</v>
      </c>
      <c r="B109" s="120" t="s">
        <v>143</v>
      </c>
      <c r="C109" s="121" t="s">
        <v>58</v>
      </c>
      <c r="D109" s="4">
        <v>11016296587.059999</v>
      </c>
      <c r="E109" s="3">
        <f t="shared" ref="E109:E115" si="72">(D109/$D$116)</f>
        <v>1.6870372973950859E-2</v>
      </c>
      <c r="F109" s="4">
        <v>113260.7</v>
      </c>
      <c r="G109" s="4">
        <v>113260.7</v>
      </c>
      <c r="H109" s="60">
        <v>561</v>
      </c>
      <c r="I109" s="5">
        <v>-1E-4</v>
      </c>
      <c r="J109" s="5">
        <v>6.0499999999999998E-2</v>
      </c>
      <c r="K109" s="4">
        <v>11096600617.98</v>
      </c>
      <c r="L109" s="3">
        <f t="shared" si="61"/>
        <v>1.4805589782674043E-2</v>
      </c>
      <c r="M109" s="4">
        <v>113370.35</v>
      </c>
      <c r="N109" s="4">
        <v>113370.35</v>
      </c>
      <c r="O109" s="60">
        <v>564</v>
      </c>
      <c r="P109" s="5">
        <v>1E-3</v>
      </c>
      <c r="Q109" s="5">
        <v>6.0499999999999998E-2</v>
      </c>
      <c r="R109" s="82">
        <f t="shared" si="67"/>
        <v>7.2895668962223723E-3</v>
      </c>
      <c r="S109" s="82">
        <f t="shared" si="68"/>
        <v>9.6812045131284489E-4</v>
      </c>
      <c r="T109" s="82">
        <f t="shared" si="69"/>
        <v>5.3475935828877002E-3</v>
      </c>
      <c r="U109" s="82">
        <f t="shared" si="70"/>
        <v>1.1000000000000001E-3</v>
      </c>
      <c r="V109" s="84">
        <f t="shared" si="71"/>
        <v>0</v>
      </c>
    </row>
    <row r="110" spans="1:24">
      <c r="A110" s="132">
        <v>93</v>
      </c>
      <c r="B110" s="120" t="s">
        <v>144</v>
      </c>
      <c r="C110" s="121" t="s">
        <v>56</v>
      </c>
      <c r="D110" s="4">
        <v>3459711208.7924871</v>
      </c>
      <c r="E110" s="3">
        <f t="shared" si="72"/>
        <v>5.2982068895137081E-3</v>
      </c>
      <c r="F110" s="4">
        <v>1089.2893156976277</v>
      </c>
      <c r="G110" s="4">
        <v>1089.2893156976277</v>
      </c>
      <c r="H110" s="60">
        <v>159</v>
      </c>
      <c r="I110" s="5">
        <v>5.6416077388612838E-2</v>
      </c>
      <c r="J110" s="5">
        <v>5.8293588763141661E-2</v>
      </c>
      <c r="K110" s="4">
        <v>3434285538.5570631</v>
      </c>
      <c r="L110" s="3">
        <f t="shared" si="61"/>
        <v>4.5821801316394215E-3</v>
      </c>
      <c r="M110" s="4">
        <v>1081.0824085006584</v>
      </c>
      <c r="N110" s="4">
        <v>1081.0824085006584</v>
      </c>
      <c r="O110" s="60">
        <v>161</v>
      </c>
      <c r="P110" s="5">
        <v>5.0882113308264247E-2</v>
      </c>
      <c r="Q110" s="5">
        <v>5.8194417616812384E-2</v>
      </c>
      <c r="R110" s="82">
        <f t="shared" si="67"/>
        <v>-7.3490730008930836E-3</v>
      </c>
      <c r="S110" s="82">
        <f t="shared" si="68"/>
        <v>-7.5341849761128088E-3</v>
      </c>
      <c r="T110" s="82">
        <f t="shared" si="69"/>
        <v>1.2578616352201259E-2</v>
      </c>
      <c r="U110" s="82">
        <f t="shared" si="70"/>
        <v>-5.5339640803485912E-3</v>
      </c>
      <c r="V110" s="84">
        <f t="shared" si="71"/>
        <v>-9.9171146329277149E-5</v>
      </c>
    </row>
    <row r="111" spans="1:24">
      <c r="A111" s="135">
        <v>94</v>
      </c>
      <c r="B111" s="121" t="s">
        <v>145</v>
      </c>
      <c r="C111" s="138" t="s">
        <v>40</v>
      </c>
      <c r="D111" s="2">
        <v>9256153812.5200005</v>
      </c>
      <c r="E111" s="3">
        <f t="shared" si="72"/>
        <v>1.4174887711800779E-2</v>
      </c>
      <c r="F111" s="4">
        <f>1.0293*806.108</f>
        <v>829.72696440000004</v>
      </c>
      <c r="G111" s="4">
        <f>1.0293*806.108</f>
        <v>829.72696440000004</v>
      </c>
      <c r="H111" s="60">
        <v>389</v>
      </c>
      <c r="I111" s="5">
        <v>1.5E-3</v>
      </c>
      <c r="J111" s="5">
        <v>9.1200000000000003E-2</v>
      </c>
      <c r="K111" s="2">
        <v>9098911006.8600006</v>
      </c>
      <c r="L111" s="3">
        <f t="shared" si="61"/>
        <v>1.2140181346920458E-2</v>
      </c>
      <c r="M111" s="4">
        <f>1.0303*953.139</f>
        <v>982.01911170000005</v>
      </c>
      <c r="N111" s="4">
        <f>1.0303*953.139</f>
        <v>982.01911170000005</v>
      </c>
      <c r="O111" s="60">
        <v>389</v>
      </c>
      <c r="P111" s="5">
        <v>1.5E-3</v>
      </c>
      <c r="Q111" s="5">
        <v>9.2700000000000005E-2</v>
      </c>
      <c r="R111" s="82">
        <f t="shared" si="67"/>
        <v>-1.6987920560191109E-2</v>
      </c>
      <c r="S111" s="82">
        <f t="shared" si="68"/>
        <v>0.18354489348207087</v>
      </c>
      <c r="T111" s="82">
        <f t="shared" si="69"/>
        <v>0</v>
      </c>
      <c r="U111" s="82">
        <f t="shared" si="70"/>
        <v>0</v>
      </c>
      <c r="V111" s="84">
        <f t="shared" si="71"/>
        <v>1.5000000000000013E-3</v>
      </c>
    </row>
    <row r="112" spans="1:24">
      <c r="A112" s="131">
        <v>95</v>
      </c>
      <c r="B112" s="120" t="s">
        <v>146</v>
      </c>
      <c r="C112" s="121" t="s">
        <v>80</v>
      </c>
      <c r="D112" s="4">
        <v>198833472.38999999</v>
      </c>
      <c r="E112" s="3">
        <f t="shared" si="72"/>
        <v>3.0449387527067953E-4</v>
      </c>
      <c r="F112" s="4">
        <f>0.98*806.108</f>
        <v>789.98583999999994</v>
      </c>
      <c r="G112" s="4">
        <f>0.98*806.108</f>
        <v>789.98583999999994</v>
      </c>
      <c r="H112" s="60">
        <v>3</v>
      </c>
      <c r="I112" s="5">
        <v>5.7809999999999997E-3</v>
      </c>
      <c r="J112" s="5">
        <v>0.13574</v>
      </c>
      <c r="K112" s="4">
        <v>234434995.63999999</v>
      </c>
      <c r="L112" s="3">
        <f t="shared" si="61"/>
        <v>3.1279384521821796E-4</v>
      </c>
      <c r="M112" s="4">
        <f>0.99*953.139</f>
        <v>943.60761000000002</v>
      </c>
      <c r="N112" s="4">
        <f>0.99*953.139</f>
        <v>943.60761000000002</v>
      </c>
      <c r="O112" s="60">
        <v>3</v>
      </c>
      <c r="P112" s="5">
        <v>1.0822E-2</v>
      </c>
      <c r="Q112" s="5">
        <v>0.148031</v>
      </c>
      <c r="R112" s="82">
        <f t="shared" si="67"/>
        <v>0.17905196153376901</v>
      </c>
      <c r="S112" s="82">
        <f t="shared" si="68"/>
        <v>0.19446142224523935</v>
      </c>
      <c r="T112" s="82">
        <f t="shared" si="69"/>
        <v>0</v>
      </c>
      <c r="U112" s="82">
        <f t="shared" si="70"/>
        <v>5.0410000000000003E-3</v>
      </c>
      <c r="V112" s="84">
        <f t="shared" si="71"/>
        <v>1.2290999999999996E-2</v>
      </c>
    </row>
    <row r="113" spans="1:22">
      <c r="A113" s="134">
        <v>96</v>
      </c>
      <c r="B113" s="120" t="s">
        <v>147</v>
      </c>
      <c r="C113" s="121" t="s">
        <v>42</v>
      </c>
      <c r="D113" s="2">
        <v>389027237487.94</v>
      </c>
      <c r="E113" s="3">
        <f t="shared" si="72"/>
        <v>0.59575688994760734</v>
      </c>
      <c r="F113" s="4">
        <v>1155.77</v>
      </c>
      <c r="G113" s="4">
        <v>1155.77</v>
      </c>
      <c r="H113" s="60">
        <v>9742</v>
      </c>
      <c r="I113" s="5">
        <v>1.4E-3</v>
      </c>
      <c r="J113" s="5">
        <v>6.54E-2</v>
      </c>
      <c r="K113" s="2">
        <v>452150562604.79999</v>
      </c>
      <c r="L113" s="3">
        <f t="shared" si="61"/>
        <v>0.60327986744742124</v>
      </c>
      <c r="M113" s="4">
        <v>1349.9</v>
      </c>
      <c r="N113" s="4">
        <v>1349.9</v>
      </c>
      <c r="O113" s="60">
        <v>9808</v>
      </c>
      <c r="P113" s="5">
        <v>1.2999999999999999E-3</v>
      </c>
      <c r="Q113" s="5">
        <v>6.6699999999999995E-2</v>
      </c>
      <c r="R113" s="82">
        <f t="shared" si="67"/>
        <v>0.16225939737398679</v>
      </c>
      <c r="S113" s="82">
        <f t="shared" si="68"/>
        <v>0.16796594478140123</v>
      </c>
      <c r="T113" s="82">
        <f t="shared" si="69"/>
        <v>6.7747895709299941E-3</v>
      </c>
      <c r="U113" s="82">
        <f t="shared" si="70"/>
        <v>-1.0000000000000005E-4</v>
      </c>
      <c r="V113" s="84">
        <f t="shared" si="71"/>
        <v>1.2999999999999956E-3</v>
      </c>
    </row>
    <row r="114" spans="1:22" ht="16.5" customHeight="1">
      <c r="A114" s="134">
        <v>97</v>
      </c>
      <c r="B114" s="120" t="s">
        <v>148</v>
      </c>
      <c r="C114" s="121" t="s">
        <v>45</v>
      </c>
      <c r="D114" s="2">
        <v>19877676745.830002</v>
      </c>
      <c r="E114" s="3">
        <f t="shared" si="72"/>
        <v>3.0440703725395764E-2</v>
      </c>
      <c r="F114" s="4">
        <v>854.03</v>
      </c>
      <c r="G114" s="4">
        <v>854.03</v>
      </c>
      <c r="H114" s="60">
        <v>136</v>
      </c>
      <c r="I114" s="5">
        <v>1.9E-3</v>
      </c>
      <c r="J114" s="5">
        <v>7.4399999999999994E-2</v>
      </c>
      <c r="K114" s="2">
        <v>21459499975</v>
      </c>
      <c r="L114" s="3">
        <f t="shared" si="61"/>
        <v>2.8632241936899682E-2</v>
      </c>
      <c r="M114" s="4">
        <v>998.12</v>
      </c>
      <c r="N114" s="4">
        <v>998.12</v>
      </c>
      <c r="O114" s="60">
        <v>135</v>
      </c>
      <c r="P114" s="5">
        <v>1.9E-3</v>
      </c>
      <c r="Q114" s="5">
        <v>7.6499999999999999E-2</v>
      </c>
      <c r="R114" s="82">
        <f t="shared" si="67"/>
        <v>7.9577872675781272E-2</v>
      </c>
      <c r="S114" s="82">
        <f t="shared" si="68"/>
        <v>0.16871772654356409</v>
      </c>
      <c r="T114" s="82">
        <f t="shared" si="69"/>
        <v>-7.3529411764705881E-3</v>
      </c>
      <c r="U114" s="82">
        <f t="shared" si="70"/>
        <v>0</v>
      </c>
      <c r="V114" s="84">
        <f t="shared" si="71"/>
        <v>2.1000000000000046E-3</v>
      </c>
    </row>
    <row r="115" spans="1:22">
      <c r="A115" s="131">
        <v>98</v>
      </c>
      <c r="B115" s="120" t="s">
        <v>149</v>
      </c>
      <c r="C115" s="121" t="s">
        <v>32</v>
      </c>
      <c r="D115" s="4">
        <v>22191943438.249157</v>
      </c>
      <c r="E115" s="3">
        <f t="shared" si="72"/>
        <v>3.3984775179332745E-2</v>
      </c>
      <c r="F115" s="4">
        <f>1.1162*806.108</f>
        <v>899.77774959999999</v>
      </c>
      <c r="G115" s="4">
        <f>1.1162*806.108</f>
        <v>899.77774959999999</v>
      </c>
      <c r="H115" s="60">
        <v>976</v>
      </c>
      <c r="I115" s="5">
        <v>2.9999999999999997E-4</v>
      </c>
      <c r="J115" s="5">
        <v>6.1100000000000002E-2</v>
      </c>
      <c r="K115" s="4">
        <v>22433478476.665916</v>
      </c>
      <c r="L115" s="3">
        <f t="shared" si="61"/>
        <v>2.9931768399935901E-2</v>
      </c>
      <c r="M115" s="4">
        <f>1.119*815.32</f>
        <v>912.3430800000001</v>
      </c>
      <c r="N115" s="4">
        <f>1.119*815.32</f>
        <v>912.3430800000001</v>
      </c>
      <c r="O115" s="60">
        <v>991</v>
      </c>
      <c r="P115" s="5">
        <v>2.5085110195304239E-3</v>
      </c>
      <c r="Q115" s="5">
        <v>6.4092810954735624E-2</v>
      </c>
      <c r="R115" s="82">
        <f t="shared" si="67"/>
        <v>1.0883906544230788E-2</v>
      </c>
      <c r="S115" s="82">
        <f t="shared" si="68"/>
        <v>1.396492678951672E-2</v>
      </c>
      <c r="T115" s="82">
        <f t="shared" si="69"/>
        <v>1.5368852459016393E-2</v>
      </c>
      <c r="U115" s="82">
        <f t="shared" si="70"/>
        <v>2.208511019530424E-3</v>
      </c>
      <c r="V115" s="84">
        <f t="shared" si="71"/>
        <v>2.9928109547356224E-3</v>
      </c>
    </row>
    <row r="116" spans="1:22">
      <c r="A116" s="76"/>
      <c r="B116" s="19"/>
      <c r="C116" s="67" t="s">
        <v>46</v>
      </c>
      <c r="D116" s="59">
        <f>SUM(D93:D115)</f>
        <v>652996623374.59875</v>
      </c>
      <c r="E116" s="105">
        <f>(D116/$D$176)</f>
        <v>0.32265901340123254</v>
      </c>
      <c r="F116" s="30"/>
      <c r="G116" s="11"/>
      <c r="H116" s="66">
        <f>SUM(H93:H115)</f>
        <v>18429</v>
      </c>
      <c r="I116" s="33"/>
      <c r="J116" s="33"/>
      <c r="K116" s="59">
        <f>SUM(K93:K115)</f>
        <v>749487239675.21936</v>
      </c>
      <c r="L116" s="105">
        <f>(K116/$K$176)</f>
        <v>0.35346808405212016</v>
      </c>
      <c r="M116" s="30"/>
      <c r="N116" s="11"/>
      <c r="O116" s="66">
        <f>SUM(O93:O115)</f>
        <v>18538</v>
      </c>
      <c r="P116" s="33"/>
      <c r="Q116" s="33"/>
      <c r="R116" s="82">
        <f t="shared" si="67"/>
        <v>0.1477658732781344</v>
      </c>
      <c r="S116" s="82" t="e">
        <f t="shared" si="68"/>
        <v>#DIV/0!</v>
      </c>
      <c r="T116" s="82">
        <f t="shared" si="69"/>
        <v>5.9145911335395304E-3</v>
      </c>
      <c r="U116" s="82">
        <f t="shared" si="70"/>
        <v>0</v>
      </c>
      <c r="V116" s="84">
        <f t="shared" si="71"/>
        <v>0</v>
      </c>
    </row>
    <row r="117" spans="1:22" ht="8.25" customHeight="1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</row>
    <row r="118" spans="1:22" ht="15.75">
      <c r="A118" s="140" t="s">
        <v>150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</row>
    <row r="119" spans="1:22">
      <c r="A119" s="127">
        <v>99</v>
      </c>
      <c r="B119" s="120" t="s">
        <v>246</v>
      </c>
      <c r="C119" s="121" t="s">
        <v>247</v>
      </c>
      <c r="D119" s="2">
        <v>2162121859.4332252</v>
      </c>
      <c r="E119" s="3">
        <f>(D119/$D$124)</f>
        <v>2.2564280639344379E-2</v>
      </c>
      <c r="F119" s="14">
        <v>101.89</v>
      </c>
      <c r="G119" s="14">
        <v>101.89</v>
      </c>
      <c r="H119" s="60">
        <v>8</v>
      </c>
      <c r="I119" s="5">
        <v>1.4E-3</v>
      </c>
      <c r="J119" s="5">
        <v>1.89E-2</v>
      </c>
      <c r="K119" s="2">
        <v>2151953555.3669076</v>
      </c>
      <c r="L119" s="3">
        <f>(K119/$K$124)</f>
        <v>2.2307015297588252E-2</v>
      </c>
      <c r="M119" s="14">
        <v>101.41</v>
      </c>
      <c r="N119" s="14">
        <v>101.41</v>
      </c>
      <c r="O119" s="60">
        <v>8</v>
      </c>
      <c r="P119" s="5">
        <v>-4.7000000000000002E-3</v>
      </c>
      <c r="Q119" s="5">
        <v>1.41E-2</v>
      </c>
      <c r="R119" s="82">
        <f t="shared" ref="R119" si="73">((K119-D119)/D119)</f>
        <v>-4.7029282933123201E-3</v>
      </c>
      <c r="S119" s="82">
        <f t="shared" ref="S119" si="74">((N119-G119)/G119)</f>
        <v>-4.7109628030229068E-3</v>
      </c>
      <c r="T119" s="82">
        <f t="shared" ref="T119" si="75">((O119-H119)/H119)</f>
        <v>0</v>
      </c>
      <c r="U119" s="82">
        <f t="shared" ref="U119" si="76">P119-I119</f>
        <v>-6.1000000000000004E-3</v>
      </c>
      <c r="V119" s="84">
        <f t="shared" ref="V119" si="77">Q119-J119</f>
        <v>-4.8000000000000004E-3</v>
      </c>
    </row>
    <row r="120" spans="1:22">
      <c r="A120" s="135">
        <v>100</v>
      </c>
      <c r="B120" s="120" t="s">
        <v>151</v>
      </c>
      <c r="C120" s="121" t="s">
        <v>40</v>
      </c>
      <c r="D120" s="2">
        <v>54330953714</v>
      </c>
      <c r="E120" s="3">
        <f>(D120/$D$124)</f>
        <v>0.56700730426327184</v>
      </c>
      <c r="F120" s="14">
        <v>101.79</v>
      </c>
      <c r="G120" s="14">
        <v>101.79</v>
      </c>
      <c r="H120" s="60">
        <v>675</v>
      </c>
      <c r="I120" s="5">
        <v>0</v>
      </c>
      <c r="J120" s="5">
        <v>7.6999999999999999E-2</v>
      </c>
      <c r="K120" s="2">
        <v>54330953714</v>
      </c>
      <c r="L120" s="3">
        <f>(K120/$K$124)</f>
        <v>0.56319125132053238</v>
      </c>
      <c r="M120" s="14">
        <v>101.79</v>
      </c>
      <c r="N120" s="14">
        <v>101.79</v>
      </c>
      <c r="O120" s="60">
        <v>675</v>
      </c>
      <c r="P120" s="5">
        <v>0</v>
      </c>
      <c r="Q120" s="5">
        <v>7.6999999999999999E-2</v>
      </c>
      <c r="R120" s="82">
        <f t="shared" ref="R120" si="78">((K120-D120)/D120)</f>
        <v>0</v>
      </c>
      <c r="S120" s="82">
        <f t="shared" ref="S120" si="79">((N120-G120)/G120)</f>
        <v>0</v>
      </c>
      <c r="T120" s="82">
        <f t="shared" ref="T120" si="80">((O120-H120)/H120)</f>
        <v>0</v>
      </c>
      <c r="U120" s="82">
        <f t="shared" ref="U120" si="81">P120-I120</f>
        <v>0</v>
      </c>
      <c r="V120" s="84">
        <f t="shared" ref="V120" si="82">Q120-J120</f>
        <v>0</v>
      </c>
    </row>
    <row r="121" spans="1:22" ht="17.25" customHeight="1">
      <c r="A121" s="132">
        <v>101</v>
      </c>
      <c r="B121" s="120" t="s">
        <v>152</v>
      </c>
      <c r="C121" s="121" t="s">
        <v>120</v>
      </c>
      <c r="D121" s="2">
        <v>2564824042.1199999</v>
      </c>
      <c r="E121" s="3">
        <f>(D121/$D$124)</f>
        <v>2.6766950819369698E-2</v>
      </c>
      <c r="F121" s="14">
        <v>92.15</v>
      </c>
      <c r="G121" s="14">
        <v>92.15</v>
      </c>
      <c r="H121" s="60">
        <v>2743</v>
      </c>
      <c r="I121" s="5">
        <v>0.13300000000000001</v>
      </c>
      <c r="J121" s="5">
        <v>0.1532</v>
      </c>
      <c r="K121" s="2">
        <v>2576073617.4400001</v>
      </c>
      <c r="L121" s="3">
        <f>(K121/$K$124)</f>
        <v>2.6703417203699779E-2</v>
      </c>
      <c r="M121" s="14">
        <v>22.87</v>
      </c>
      <c r="N121" s="14">
        <v>15.59</v>
      </c>
      <c r="O121" s="60">
        <v>2743</v>
      </c>
      <c r="P121" s="5">
        <v>0.22869999999999999</v>
      </c>
      <c r="Q121" s="5">
        <v>0.15590000000000001</v>
      </c>
      <c r="R121" s="82">
        <f t="shared" ref="R121:R124" si="83">((K121-D121)/D121)</f>
        <v>4.3861002295898788E-3</v>
      </c>
      <c r="S121" s="82">
        <f t="shared" ref="S121:S124" si="84">((N121-G121)/G121)</f>
        <v>-0.83081931633206729</v>
      </c>
      <c r="T121" s="82">
        <f t="shared" ref="T121:T124" si="85">((O121-H121)/H121)</f>
        <v>0</v>
      </c>
      <c r="U121" s="82">
        <f t="shared" ref="U121:U124" si="86">P121-I121</f>
        <v>9.569999999999998E-2</v>
      </c>
      <c r="V121" s="84">
        <f t="shared" ref="V121:V124" si="87">Q121-J121</f>
        <v>2.7000000000000079E-3</v>
      </c>
    </row>
    <row r="122" spans="1:22">
      <c r="A122" s="131">
        <v>102</v>
      </c>
      <c r="B122" s="120" t="s">
        <v>153</v>
      </c>
      <c r="C122" s="121" t="s">
        <v>120</v>
      </c>
      <c r="D122" s="2">
        <v>10118781515.959999</v>
      </c>
      <c r="E122" s="3">
        <f>(D122/$D$124)</f>
        <v>0.1056013678684069</v>
      </c>
      <c r="F122" s="14">
        <v>36.6</v>
      </c>
      <c r="G122" s="14">
        <v>36.6</v>
      </c>
      <c r="H122" s="60">
        <v>5264</v>
      </c>
      <c r="I122" s="5">
        <v>3.73E-2</v>
      </c>
      <c r="J122" s="5">
        <v>0.1646</v>
      </c>
      <c r="K122" s="2">
        <v>10748520360.68</v>
      </c>
      <c r="L122" s="3">
        <f>(K122/$K$124)</f>
        <v>0.11141848647902035</v>
      </c>
      <c r="M122" s="14">
        <v>36.6</v>
      </c>
      <c r="N122" s="14">
        <v>36.6</v>
      </c>
      <c r="O122" s="60">
        <v>5264</v>
      </c>
      <c r="P122" s="5">
        <v>3.1160999999999999</v>
      </c>
      <c r="Q122" s="5">
        <v>0.34870000000000001</v>
      </c>
      <c r="R122" s="82">
        <f t="shared" si="83"/>
        <v>6.2234651842886048E-2</v>
      </c>
      <c r="S122" s="82">
        <f t="shared" si="84"/>
        <v>0</v>
      </c>
      <c r="T122" s="82">
        <f t="shared" si="85"/>
        <v>0</v>
      </c>
      <c r="U122" s="82">
        <f t="shared" si="86"/>
        <v>3.0787999999999998</v>
      </c>
      <c r="V122" s="84">
        <f t="shared" si="87"/>
        <v>0.18410000000000001</v>
      </c>
    </row>
    <row r="123" spans="1:22">
      <c r="A123" s="134">
        <v>103</v>
      </c>
      <c r="B123" s="120" t="s">
        <v>154</v>
      </c>
      <c r="C123" s="121" t="s">
        <v>42</v>
      </c>
      <c r="D123" s="2">
        <v>26643872334.889999</v>
      </c>
      <c r="E123" s="3">
        <f>(D123/$D$124)</f>
        <v>0.27806009640960716</v>
      </c>
      <c r="F123" s="14">
        <v>4.45</v>
      </c>
      <c r="G123" s="14">
        <v>4.45</v>
      </c>
      <c r="H123" s="60">
        <v>208853</v>
      </c>
      <c r="I123" s="5">
        <v>0.20269999999999999</v>
      </c>
      <c r="J123" s="5">
        <v>0.48330000000000001</v>
      </c>
      <c r="K123" s="2">
        <v>26662310005.099998</v>
      </c>
      <c r="L123" s="3">
        <f>(K123/$K$124)</f>
        <v>0.27637982969915914</v>
      </c>
      <c r="M123" s="14">
        <v>4.45</v>
      </c>
      <c r="N123" s="14">
        <v>4.45</v>
      </c>
      <c r="O123" s="60">
        <v>208853</v>
      </c>
      <c r="P123" s="5">
        <v>0</v>
      </c>
      <c r="Q123" s="5">
        <v>0.48330000000000001</v>
      </c>
      <c r="R123" s="82">
        <f t="shared" si="83"/>
        <v>6.9200414933136658E-4</v>
      </c>
      <c r="S123" s="82">
        <f t="shared" si="84"/>
        <v>0</v>
      </c>
      <c r="T123" s="82">
        <f t="shared" si="85"/>
        <v>0</v>
      </c>
      <c r="U123" s="82">
        <f t="shared" si="86"/>
        <v>-0.20269999999999999</v>
      </c>
      <c r="V123" s="84">
        <f t="shared" si="87"/>
        <v>0</v>
      </c>
    </row>
    <row r="124" spans="1:22">
      <c r="A124" s="76"/>
      <c r="B124" s="19"/>
      <c r="C124" s="72" t="s">
        <v>46</v>
      </c>
      <c r="D124" s="58">
        <f>SUM(D119:D123)</f>
        <v>95820553466.403229</v>
      </c>
      <c r="E124" s="105">
        <f>(D124/$D$176)</f>
        <v>4.7346899108379657E-2</v>
      </c>
      <c r="F124" s="30"/>
      <c r="G124" s="34"/>
      <c r="H124" s="66">
        <f>SUM(H119:H123)</f>
        <v>217543</v>
      </c>
      <c r="I124" s="35"/>
      <c r="J124" s="35"/>
      <c r="K124" s="58">
        <f>SUM(K119:K123)</f>
        <v>96469811252.586914</v>
      </c>
      <c r="L124" s="105">
        <f>(K124/$K$176)</f>
        <v>4.5496437493849691E-2</v>
      </c>
      <c r="M124" s="30"/>
      <c r="N124" s="34"/>
      <c r="O124" s="66">
        <f>SUM(O119:O123)</f>
        <v>217543</v>
      </c>
      <c r="P124" s="35"/>
      <c r="Q124" s="35"/>
      <c r="R124" s="82">
        <f t="shared" si="83"/>
        <v>6.7757674391990359E-3</v>
      </c>
      <c r="S124" s="82" t="e">
        <f t="shared" si="84"/>
        <v>#DIV/0!</v>
      </c>
      <c r="T124" s="82">
        <f t="shared" si="85"/>
        <v>0</v>
      </c>
      <c r="U124" s="82">
        <f t="shared" si="86"/>
        <v>0</v>
      </c>
      <c r="V124" s="84">
        <f t="shared" si="87"/>
        <v>0</v>
      </c>
    </row>
    <row r="125" spans="1:22" ht="7.5" customHeight="1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</row>
    <row r="126" spans="1:22" ht="15" customHeight="1">
      <c r="A126" s="140" t="s">
        <v>155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</row>
    <row r="127" spans="1:22">
      <c r="A127" s="126">
        <v>104</v>
      </c>
      <c r="B127" s="120" t="s">
        <v>156</v>
      </c>
      <c r="C127" s="121" t="s">
        <v>50</v>
      </c>
      <c r="D127" s="4">
        <v>214701374.28999999</v>
      </c>
      <c r="E127" s="3">
        <f t="shared" ref="E127:E150" si="88">(D127/$D$151)</f>
        <v>5.3426845716022303E-3</v>
      </c>
      <c r="F127" s="4">
        <v>4.9000000000000004</v>
      </c>
      <c r="G127" s="4">
        <v>4.8</v>
      </c>
      <c r="H127" s="62">
        <v>11813</v>
      </c>
      <c r="I127" s="6">
        <v>5.0039999999999998E-3</v>
      </c>
      <c r="J127" s="6">
        <v>0.27838299999999999</v>
      </c>
      <c r="K127" s="4">
        <v>214324205.41</v>
      </c>
      <c r="L127" s="16">
        <f t="shared" ref="L127:L142" si="89">(K127/$K$151)</f>
        <v>5.258584930788404E-3</v>
      </c>
      <c r="M127" s="4">
        <v>4.79</v>
      </c>
      <c r="N127" s="4">
        <v>4.8899999999999997</v>
      </c>
      <c r="O127" s="62">
        <v>11813</v>
      </c>
      <c r="P127" s="6">
        <v>-2.875E-3</v>
      </c>
      <c r="Q127" s="6">
        <v>0.27550799999999998</v>
      </c>
      <c r="R127" s="82">
        <f t="shared" ref="R127" si="90">((K127-D127)/D127)</f>
        <v>-1.7567138601104072E-3</v>
      </c>
      <c r="S127" s="82">
        <f t="shared" ref="S127" si="91">((N127-G127)/G127)</f>
        <v>1.8749999999999972E-2</v>
      </c>
      <c r="T127" s="82">
        <f t="shared" ref="T127" si="92">((O127-H127)/H127)</f>
        <v>0</v>
      </c>
      <c r="U127" s="82">
        <f t="shared" ref="U127" si="93">P127-I127</f>
        <v>-7.8790000000000006E-3</v>
      </c>
      <c r="V127" s="84">
        <f t="shared" ref="V127" si="94">Q127-J127</f>
        <v>-2.8750000000000164E-3</v>
      </c>
    </row>
    <row r="128" spans="1:22">
      <c r="A128" s="134">
        <v>105</v>
      </c>
      <c r="B128" s="120" t="s">
        <v>157</v>
      </c>
      <c r="C128" s="121" t="s">
        <v>21</v>
      </c>
      <c r="D128" s="4">
        <v>6061818605.4899998</v>
      </c>
      <c r="E128" s="3">
        <f t="shared" si="88"/>
        <v>0.15084386323330215</v>
      </c>
      <c r="F128" s="4">
        <v>647.18290000000002</v>
      </c>
      <c r="G128" s="4">
        <v>666.69600000000003</v>
      </c>
      <c r="H128" s="62">
        <v>21194</v>
      </c>
      <c r="I128" s="6">
        <v>-2E-3</v>
      </c>
      <c r="J128" s="6">
        <v>0.25519999999999998</v>
      </c>
      <c r="K128" s="4">
        <v>6090690560.8999996</v>
      </c>
      <c r="L128" s="16">
        <f t="shared" si="89"/>
        <v>0.14943908710812148</v>
      </c>
      <c r="M128" s="4">
        <v>649.63930000000005</v>
      </c>
      <c r="N128" s="4">
        <v>669.22640000000001</v>
      </c>
      <c r="O128" s="62">
        <v>21192</v>
      </c>
      <c r="P128" s="6">
        <v>0.19789999999999999</v>
      </c>
      <c r="Q128" s="6">
        <v>0.255</v>
      </c>
      <c r="R128" s="82">
        <f t="shared" ref="R128:R151" si="95">((K128-D128)/D128)</f>
        <v>4.7629197257488733E-3</v>
      </c>
      <c r="S128" s="82">
        <f t="shared" ref="S128:S151" si="96">((N128-G128)/G128)</f>
        <v>3.795433000947937E-3</v>
      </c>
      <c r="T128" s="82">
        <f t="shared" ref="T128:T151" si="97">((O128-H128)/H128)</f>
        <v>-9.4366330093422672E-5</v>
      </c>
      <c r="U128" s="82">
        <f t="shared" ref="U128:U151" si="98">P128-I128</f>
        <v>0.19989999999999999</v>
      </c>
      <c r="V128" s="84">
        <f t="shared" ref="V128:V151" si="99">Q128-J128</f>
        <v>-1.9999999999997797E-4</v>
      </c>
    </row>
    <row r="129" spans="1:24">
      <c r="A129" s="128">
        <v>106</v>
      </c>
      <c r="B129" s="120" t="s">
        <v>158</v>
      </c>
      <c r="C129" s="121" t="s">
        <v>91</v>
      </c>
      <c r="D129" s="4">
        <v>3255917037.8299999</v>
      </c>
      <c r="E129" s="3">
        <f t="shared" si="88"/>
        <v>8.1021082337996889E-2</v>
      </c>
      <c r="F129" s="4">
        <v>18.085899999999999</v>
      </c>
      <c r="G129" s="4">
        <v>18.2913</v>
      </c>
      <c r="H129" s="60">
        <v>6274</v>
      </c>
      <c r="I129" s="5">
        <v>1.0699999999999999E-2</v>
      </c>
      <c r="J129" s="5">
        <v>0.30530000000000002</v>
      </c>
      <c r="K129" s="4">
        <v>3247260540.8099999</v>
      </c>
      <c r="L129" s="16">
        <f t="shared" si="89"/>
        <v>7.9673666880421018E-2</v>
      </c>
      <c r="M129" s="4">
        <v>18.1633</v>
      </c>
      <c r="N129" s="4">
        <v>18.370200000000001</v>
      </c>
      <c r="O129" s="60">
        <v>6272</v>
      </c>
      <c r="P129" s="5">
        <v>3.2000000000000002E-3</v>
      </c>
      <c r="Q129" s="5">
        <v>0.31090000000000001</v>
      </c>
      <c r="R129" s="82">
        <f t="shared" si="95"/>
        <v>-2.6586970489178539E-3</v>
      </c>
      <c r="S129" s="82">
        <f t="shared" si="96"/>
        <v>4.3135261025734018E-3</v>
      </c>
      <c r="T129" s="82">
        <f t="shared" si="97"/>
        <v>-3.1877590054191901E-4</v>
      </c>
      <c r="U129" s="82">
        <f t="shared" si="98"/>
        <v>-7.4999999999999997E-3</v>
      </c>
      <c r="V129" s="84">
        <f t="shared" si="99"/>
        <v>5.5999999999999939E-3</v>
      </c>
    </row>
    <row r="130" spans="1:24">
      <c r="A130" s="129">
        <v>107</v>
      </c>
      <c r="B130" s="120" t="s">
        <v>159</v>
      </c>
      <c r="C130" s="121" t="s">
        <v>101</v>
      </c>
      <c r="D130" s="2">
        <v>1272637728.2993147</v>
      </c>
      <c r="E130" s="3">
        <f t="shared" si="88"/>
        <v>3.1668646643312835E-2</v>
      </c>
      <c r="F130" s="4">
        <v>2.9771000000000001</v>
      </c>
      <c r="G130" s="4">
        <v>3.0495999999999999</v>
      </c>
      <c r="H130" s="60">
        <v>2754</v>
      </c>
      <c r="I130" s="5">
        <v>0.4849</v>
      </c>
      <c r="J130" s="5">
        <v>0.35249999999999998</v>
      </c>
      <c r="K130" s="2">
        <v>1272637728.2993147</v>
      </c>
      <c r="L130" s="16">
        <f t="shared" si="89"/>
        <v>3.1225001243258142E-2</v>
      </c>
      <c r="M130" s="4">
        <v>2.9767999999999999</v>
      </c>
      <c r="N130" s="4">
        <v>3.0491999999999999</v>
      </c>
      <c r="O130" s="60">
        <v>2754</v>
      </c>
      <c r="P130" s="5">
        <v>6.7999999999999996E-3</v>
      </c>
      <c r="Q130" s="5">
        <v>0.34499999999999997</v>
      </c>
      <c r="R130" s="82">
        <f t="shared" si="95"/>
        <v>0</v>
      </c>
      <c r="S130" s="82">
        <f t="shared" si="96"/>
        <v>-1.3116474291708944E-4</v>
      </c>
      <c r="T130" s="82">
        <f t="shared" si="97"/>
        <v>0</v>
      </c>
      <c r="U130" s="82">
        <f t="shared" si="98"/>
        <v>-0.47810000000000002</v>
      </c>
      <c r="V130" s="84">
        <f t="shared" si="99"/>
        <v>-7.5000000000000067E-3</v>
      </c>
    </row>
    <row r="131" spans="1:24">
      <c r="A131" s="132">
        <v>108</v>
      </c>
      <c r="B131" s="120" t="s">
        <v>160</v>
      </c>
      <c r="C131" s="121" t="s">
        <v>56</v>
      </c>
      <c r="D131" s="2">
        <v>2901179732.3859501</v>
      </c>
      <c r="E131" s="3">
        <f t="shared" si="88"/>
        <v>7.219370740835282E-2</v>
      </c>
      <c r="F131" s="4">
        <v>5424.1370839520296</v>
      </c>
      <c r="G131" s="4">
        <v>5465.13062607559</v>
      </c>
      <c r="H131" s="60">
        <v>845</v>
      </c>
      <c r="I131" s="5">
        <v>0.40223707662033126</v>
      </c>
      <c r="J131" s="5">
        <v>0.32162846552041102</v>
      </c>
      <c r="K131" s="2">
        <v>2918691407.7906799</v>
      </c>
      <c r="L131" s="16">
        <f t="shared" si="89"/>
        <v>7.1612007730385549E-2</v>
      </c>
      <c r="M131" s="4">
        <v>5457.4229850091097</v>
      </c>
      <c r="N131" s="4">
        <v>5497.4296573912397</v>
      </c>
      <c r="O131" s="60">
        <v>847</v>
      </c>
      <c r="P131" s="5">
        <v>0.31998121670369534</v>
      </c>
      <c r="Q131" s="5">
        <v>0.32352651724616899</v>
      </c>
      <c r="R131" s="82">
        <f t="shared" si="95"/>
        <v>6.0360532680021591E-3</v>
      </c>
      <c r="S131" s="82">
        <f t="shared" si="96"/>
        <v>5.9100200023659896E-3</v>
      </c>
      <c r="T131" s="82">
        <f t="shared" si="97"/>
        <v>2.3668639053254438E-3</v>
      </c>
      <c r="U131" s="82">
        <f t="shared" si="98"/>
        <v>-8.2255859916635921E-2</v>
      </c>
      <c r="V131" s="84">
        <f t="shared" si="99"/>
        <v>1.8980517257579654E-3</v>
      </c>
    </row>
    <row r="132" spans="1:24">
      <c r="A132" s="135">
        <v>109</v>
      </c>
      <c r="B132" s="120" t="s">
        <v>161</v>
      </c>
      <c r="C132" s="121" t="s">
        <v>58</v>
      </c>
      <c r="D132" s="4">
        <v>437218199.94</v>
      </c>
      <c r="E132" s="3">
        <f t="shared" si="88"/>
        <v>1.08798508578151E-2</v>
      </c>
      <c r="F132" s="4">
        <v>162.61000000000001</v>
      </c>
      <c r="G132" s="4">
        <v>163.69</v>
      </c>
      <c r="H132" s="60">
        <v>629</v>
      </c>
      <c r="I132" s="5">
        <v>1.26E-2</v>
      </c>
      <c r="J132" s="5">
        <v>0.26529999999999998</v>
      </c>
      <c r="K132" s="4">
        <v>438629335.38999999</v>
      </c>
      <c r="L132" s="16">
        <f t="shared" si="89"/>
        <v>1.0762058391263566E-2</v>
      </c>
      <c r="M132" s="4">
        <v>163.4</v>
      </c>
      <c r="N132" s="4">
        <v>164.48</v>
      </c>
      <c r="O132" s="60">
        <v>631</v>
      </c>
      <c r="P132" s="5">
        <v>4.7999999999999996E-3</v>
      </c>
      <c r="Q132" s="5">
        <v>0.27100000000000002</v>
      </c>
      <c r="R132" s="82">
        <f t="shared" si="95"/>
        <v>3.2275313566398653E-3</v>
      </c>
      <c r="S132" s="82">
        <f t="shared" si="96"/>
        <v>4.8261958580242655E-3</v>
      </c>
      <c r="T132" s="82">
        <f t="shared" si="97"/>
        <v>3.1796502384737681E-3</v>
      </c>
      <c r="U132" s="82">
        <f t="shared" si="98"/>
        <v>-7.8000000000000005E-3</v>
      </c>
      <c r="V132" s="84">
        <f t="shared" si="99"/>
        <v>5.7000000000000384E-3</v>
      </c>
    </row>
    <row r="133" spans="1:24">
      <c r="A133" s="137">
        <v>110</v>
      </c>
      <c r="B133" s="120" t="s">
        <v>162</v>
      </c>
      <c r="C133" s="121" t="s">
        <v>60</v>
      </c>
      <c r="D133" s="4">
        <v>3734808.11</v>
      </c>
      <c r="E133" s="3">
        <f t="shared" si="88"/>
        <v>9.2937931735080035E-5</v>
      </c>
      <c r="F133" s="4">
        <v>102.747</v>
      </c>
      <c r="G133" s="4">
        <v>102.99</v>
      </c>
      <c r="H133" s="60">
        <v>0</v>
      </c>
      <c r="I133" s="5">
        <v>0</v>
      </c>
      <c r="J133" s="5">
        <v>0</v>
      </c>
      <c r="K133" s="4">
        <v>3734808.11</v>
      </c>
      <c r="L133" s="16">
        <f t="shared" si="89"/>
        <v>9.1635966217915382E-5</v>
      </c>
      <c r="M133" s="4">
        <v>102.747</v>
      </c>
      <c r="N133" s="4">
        <v>102.99</v>
      </c>
      <c r="O133" s="60">
        <v>0</v>
      </c>
      <c r="P133" s="5">
        <v>0</v>
      </c>
      <c r="Q133" s="5">
        <v>0</v>
      </c>
      <c r="R133" s="82">
        <f t="shared" si="95"/>
        <v>0</v>
      </c>
      <c r="S133" s="82">
        <f t="shared" si="96"/>
        <v>0</v>
      </c>
      <c r="T133" s="82" t="e">
        <f t="shared" si="97"/>
        <v>#DIV/0!</v>
      </c>
      <c r="U133" s="82">
        <f t="shared" si="98"/>
        <v>0</v>
      </c>
      <c r="V133" s="84">
        <f t="shared" si="99"/>
        <v>0</v>
      </c>
    </row>
    <row r="134" spans="1:24">
      <c r="A134" s="137">
        <v>111</v>
      </c>
      <c r="B134" s="120" t="s">
        <v>163</v>
      </c>
      <c r="C134" s="121" t="s">
        <v>105</v>
      </c>
      <c r="D134" s="4">
        <v>163149900.31999999</v>
      </c>
      <c r="E134" s="3">
        <f t="shared" si="88"/>
        <v>4.0598643496373025E-3</v>
      </c>
      <c r="F134" s="4">
        <v>1.4447000000000001</v>
      </c>
      <c r="G134" s="4">
        <v>1.4584999999999999</v>
      </c>
      <c r="H134" s="60">
        <v>263</v>
      </c>
      <c r="I134" s="5">
        <v>8.3131278143411258E-4</v>
      </c>
      <c r="J134" s="5">
        <v>0.20271395271395276</v>
      </c>
      <c r="K134" s="4">
        <v>164768306.96000001</v>
      </c>
      <c r="L134" s="16">
        <f t="shared" si="89"/>
        <v>4.0426984641975822E-3</v>
      </c>
      <c r="M134" s="4">
        <v>1.4507000000000001</v>
      </c>
      <c r="N134" s="4">
        <v>1.4644999999999999</v>
      </c>
      <c r="O134" s="60">
        <v>266</v>
      </c>
      <c r="P134" s="5">
        <v>4.1999999999999997E-3</v>
      </c>
      <c r="Q134" s="5">
        <v>0.2077</v>
      </c>
      <c r="R134" s="82">
        <f t="shared" si="95"/>
        <v>9.9197525516454173E-3</v>
      </c>
      <c r="S134" s="82">
        <f t="shared" si="96"/>
        <v>4.1138155639355543E-3</v>
      </c>
      <c r="T134" s="82">
        <f t="shared" si="97"/>
        <v>1.1406844106463879E-2</v>
      </c>
      <c r="U134" s="82">
        <f t="shared" si="98"/>
        <v>3.3686872185658872E-3</v>
      </c>
      <c r="V134" s="84">
        <f t="shared" si="99"/>
        <v>4.9860472860472349E-3</v>
      </c>
    </row>
    <row r="135" spans="1:24">
      <c r="A135" s="131">
        <v>112</v>
      </c>
      <c r="B135" s="120" t="s">
        <v>164</v>
      </c>
      <c r="C135" s="121" t="s">
        <v>25</v>
      </c>
      <c r="D135" s="9">
        <v>135270461.06999999</v>
      </c>
      <c r="E135" s="3">
        <f t="shared" si="88"/>
        <v>3.3661051669657163E-3</v>
      </c>
      <c r="F135" s="4">
        <v>126.6799</v>
      </c>
      <c r="G135" s="4">
        <v>127.1463</v>
      </c>
      <c r="H135" s="60">
        <v>76</v>
      </c>
      <c r="I135" s="5">
        <v>1.075E-3</v>
      </c>
      <c r="J135" s="5">
        <v>0.2233</v>
      </c>
      <c r="K135" s="9">
        <v>129179758.98</v>
      </c>
      <c r="L135" s="16">
        <f t="shared" si="89"/>
        <v>3.1695101009967907E-3</v>
      </c>
      <c r="M135" s="4">
        <v>127.4301</v>
      </c>
      <c r="N135" s="4">
        <v>127.92610000000001</v>
      </c>
      <c r="O135" s="60">
        <v>79</v>
      </c>
      <c r="P135" s="5">
        <v>1.6699999999999999E-4</v>
      </c>
      <c r="Q135" s="5">
        <v>0.23019999999999999</v>
      </c>
      <c r="R135" s="82">
        <f t="shared" si="95"/>
        <v>-4.5026105787043642E-2</v>
      </c>
      <c r="S135" s="82">
        <f t="shared" si="96"/>
        <v>6.1330923510948309E-3</v>
      </c>
      <c r="T135" s="82">
        <f t="shared" si="97"/>
        <v>3.9473684210526314E-2</v>
      </c>
      <c r="U135" s="82">
        <f t="shared" si="98"/>
        <v>-9.0799999999999995E-4</v>
      </c>
      <c r="V135" s="84">
        <f t="shared" si="99"/>
        <v>6.8999999999999895E-3</v>
      </c>
    </row>
    <row r="136" spans="1:24">
      <c r="A136" s="134">
        <v>113</v>
      </c>
      <c r="B136" s="120" t="s">
        <v>165</v>
      </c>
      <c r="C136" s="121" t="s">
        <v>64</v>
      </c>
      <c r="D136" s="9">
        <v>181298694.94999999</v>
      </c>
      <c r="E136" s="3">
        <f t="shared" si="88"/>
        <v>4.5114836528836275E-3</v>
      </c>
      <c r="F136" s="4">
        <v>114.64</v>
      </c>
      <c r="G136" s="4">
        <v>116.61</v>
      </c>
      <c r="H136" s="60">
        <v>29</v>
      </c>
      <c r="I136" s="5">
        <v>-1.4E-3</v>
      </c>
      <c r="J136" s="5">
        <v>0.112</v>
      </c>
      <c r="K136" s="9">
        <v>182068531.46000001</v>
      </c>
      <c r="L136" s="16">
        <f t="shared" si="89"/>
        <v>4.4671708175695341E-3</v>
      </c>
      <c r="M136" s="4">
        <v>115.13</v>
      </c>
      <c r="N136" s="4">
        <v>117.18</v>
      </c>
      <c r="O136" s="60">
        <v>29</v>
      </c>
      <c r="P136" s="5">
        <v>5.1000000000000004E-3</v>
      </c>
      <c r="Q136" s="5">
        <v>0.1171</v>
      </c>
      <c r="R136" s="82">
        <f t="shared" si="95"/>
        <v>4.2462330476914466E-3</v>
      </c>
      <c r="S136" s="82">
        <f t="shared" si="96"/>
        <v>4.8880885001286976E-3</v>
      </c>
      <c r="T136" s="82">
        <f t="shared" si="97"/>
        <v>0</v>
      </c>
      <c r="U136" s="82">
        <f t="shared" si="98"/>
        <v>6.5000000000000006E-3</v>
      </c>
      <c r="V136" s="84">
        <f t="shared" si="99"/>
        <v>5.0999999999999934E-3</v>
      </c>
    </row>
    <row r="137" spans="1:24" ht="15.75" customHeight="1">
      <c r="A137" s="131">
        <v>114</v>
      </c>
      <c r="B137" s="120" t="s">
        <v>166</v>
      </c>
      <c r="C137" s="121" t="s">
        <v>67</v>
      </c>
      <c r="D137" s="2">
        <v>496489710.30000001</v>
      </c>
      <c r="E137" s="3">
        <f t="shared" si="88"/>
        <v>1.235477846357977E-2</v>
      </c>
      <c r="F137" s="4">
        <v>1.2575000000000001</v>
      </c>
      <c r="G137" s="4">
        <v>1.2575000000000001</v>
      </c>
      <c r="H137" s="60">
        <v>104</v>
      </c>
      <c r="I137" s="5">
        <v>4.4732007348830174E-3</v>
      </c>
      <c r="J137" s="5">
        <v>0.25870053055743641</v>
      </c>
      <c r="K137" s="2">
        <v>469087731.86000001</v>
      </c>
      <c r="L137" s="16">
        <f t="shared" si="89"/>
        <v>1.1509375122879209E-2</v>
      </c>
      <c r="M137" s="4">
        <v>1.2684</v>
      </c>
      <c r="N137" s="4">
        <v>1.2684</v>
      </c>
      <c r="O137" s="60">
        <v>103</v>
      </c>
      <c r="P137" s="5">
        <v>8.6679920477136449E-3</v>
      </c>
      <c r="Q137" s="5">
        <v>0.26432086157274159</v>
      </c>
      <c r="R137" s="82">
        <f t="shared" si="95"/>
        <v>-5.5191432715579476E-2</v>
      </c>
      <c r="S137" s="82">
        <f t="shared" si="96"/>
        <v>8.6679920477136449E-3</v>
      </c>
      <c r="T137" s="82">
        <f t="shared" si="97"/>
        <v>-9.6153846153846159E-3</v>
      </c>
      <c r="U137" s="82">
        <f t="shared" si="98"/>
        <v>4.1947913128306275E-3</v>
      </c>
      <c r="V137" s="84">
        <f t="shared" si="99"/>
        <v>5.62033101530518E-3</v>
      </c>
      <c r="X137" s="110"/>
    </row>
    <row r="138" spans="1:24">
      <c r="A138" s="128">
        <v>115</v>
      </c>
      <c r="B138" s="120" t="s">
        <v>167</v>
      </c>
      <c r="C138" s="121" t="s">
        <v>27</v>
      </c>
      <c r="D138" s="4">
        <v>6810652260.71</v>
      </c>
      <c r="E138" s="3">
        <f t="shared" si="88"/>
        <v>0.16947803373952577</v>
      </c>
      <c r="F138" s="4">
        <v>257.63</v>
      </c>
      <c r="G138" s="4">
        <v>259.83</v>
      </c>
      <c r="H138" s="60">
        <v>5464</v>
      </c>
      <c r="I138" s="5">
        <v>5.1999999999999998E-3</v>
      </c>
      <c r="J138" s="5">
        <v>0.39700000000000002</v>
      </c>
      <c r="K138" s="4">
        <v>6866225575.0699997</v>
      </c>
      <c r="L138" s="16">
        <f t="shared" si="89"/>
        <v>0.16846734726665816</v>
      </c>
      <c r="M138" s="4">
        <v>259.66000000000003</v>
      </c>
      <c r="N138" s="4">
        <v>261.87</v>
      </c>
      <c r="O138" s="60">
        <v>5465</v>
      </c>
      <c r="P138" s="5">
        <v>7.9000000000000008E-3</v>
      </c>
      <c r="Q138" s="5">
        <v>0.40720000000000001</v>
      </c>
      <c r="R138" s="82">
        <f t="shared" si="95"/>
        <v>8.1597638864337237E-3</v>
      </c>
      <c r="S138" s="82">
        <f t="shared" si="96"/>
        <v>7.8512873802102159E-3</v>
      </c>
      <c r="T138" s="82">
        <f t="shared" si="97"/>
        <v>1.8301610541727673E-4</v>
      </c>
      <c r="U138" s="82">
        <f t="shared" si="98"/>
        <v>2.700000000000001E-3</v>
      </c>
      <c r="V138" s="84">
        <f t="shared" si="99"/>
        <v>1.0199999999999987E-2</v>
      </c>
    </row>
    <row r="139" spans="1:24">
      <c r="A139" s="131">
        <v>116</v>
      </c>
      <c r="B139" s="120" t="s">
        <v>168</v>
      </c>
      <c r="C139" s="121" t="s">
        <v>72</v>
      </c>
      <c r="D139" s="4">
        <v>2401691945.04</v>
      </c>
      <c r="E139" s="3">
        <f t="shared" si="88"/>
        <v>5.9764324019532855E-2</v>
      </c>
      <c r="F139" s="4">
        <v>1.6741999999999999</v>
      </c>
      <c r="G139" s="4">
        <v>1.7031000000000001</v>
      </c>
      <c r="H139" s="60">
        <v>10316</v>
      </c>
      <c r="I139" s="5">
        <v>4.1000000000000003E-3</v>
      </c>
      <c r="J139" s="5">
        <v>0.30109999999999998</v>
      </c>
      <c r="K139" s="4">
        <v>2423299090.3099999</v>
      </c>
      <c r="L139" s="16">
        <f t="shared" si="89"/>
        <v>5.945723234909444E-2</v>
      </c>
      <c r="M139" s="4">
        <v>1.6891</v>
      </c>
      <c r="N139" s="4">
        <v>1.7184999999999999</v>
      </c>
      <c r="O139" s="60">
        <v>10316</v>
      </c>
      <c r="P139" s="5">
        <v>8.9999999999999993E-3</v>
      </c>
      <c r="Q139" s="5">
        <v>0.31280000000000002</v>
      </c>
      <c r="R139" s="82">
        <f t="shared" si="95"/>
        <v>8.9966347743403521E-3</v>
      </c>
      <c r="S139" s="82">
        <f t="shared" si="96"/>
        <v>9.0423345663788717E-3</v>
      </c>
      <c r="T139" s="82">
        <f t="shared" si="97"/>
        <v>0</v>
      </c>
      <c r="U139" s="82">
        <f t="shared" si="98"/>
        <v>4.899999999999999E-3</v>
      </c>
      <c r="V139" s="84">
        <f t="shared" si="99"/>
        <v>1.1700000000000044E-2</v>
      </c>
    </row>
    <row r="140" spans="1:24">
      <c r="A140" s="132">
        <v>117</v>
      </c>
      <c r="B140" s="120" t="s">
        <v>169</v>
      </c>
      <c r="C140" s="121" t="s">
        <v>74</v>
      </c>
      <c r="D140" s="4">
        <v>168466547.25127423</v>
      </c>
      <c r="E140" s="3">
        <f t="shared" si="88"/>
        <v>4.1921651680475649E-3</v>
      </c>
      <c r="F140" s="4">
        <v>110.04912075683615</v>
      </c>
      <c r="G140" s="4">
        <v>115.43170137745858</v>
      </c>
      <c r="H140" s="60">
        <v>60</v>
      </c>
      <c r="I140" s="5">
        <v>3.5910169999999998E-5</v>
      </c>
      <c r="J140" s="5">
        <v>2.9324518212254E-2</v>
      </c>
      <c r="K140" s="4">
        <v>171345333.40952507</v>
      </c>
      <c r="L140" s="16">
        <f t="shared" si="89"/>
        <v>4.2040701212659329E-3</v>
      </c>
      <c r="M140" s="4">
        <v>111.92965959811674</v>
      </c>
      <c r="N140" s="4">
        <v>115.43170137745858</v>
      </c>
      <c r="O140" s="60">
        <v>60</v>
      </c>
      <c r="P140" s="5">
        <v>1.9235910169999999E-2</v>
      </c>
      <c r="Q140" s="5">
        <v>2.9324518212254E-2</v>
      </c>
      <c r="R140" s="82">
        <f t="shared" si="95"/>
        <v>1.7088176882719748E-2</v>
      </c>
      <c r="S140" s="82">
        <f t="shared" si="96"/>
        <v>0</v>
      </c>
      <c r="T140" s="82">
        <f t="shared" si="97"/>
        <v>0</v>
      </c>
      <c r="U140" s="82">
        <f t="shared" si="98"/>
        <v>1.9199999999999998E-2</v>
      </c>
      <c r="V140" s="84">
        <f t="shared" si="99"/>
        <v>0</v>
      </c>
    </row>
    <row r="141" spans="1:24" ht="13.5" customHeight="1">
      <c r="A141" s="131">
        <v>118</v>
      </c>
      <c r="B141" s="120" t="s">
        <v>241</v>
      </c>
      <c r="C141" s="121" t="s">
        <v>32</v>
      </c>
      <c r="D141" s="2">
        <v>2607701051.8945999</v>
      </c>
      <c r="E141" s="3">
        <f t="shared" si="88"/>
        <v>6.4890707958347213E-2</v>
      </c>
      <c r="F141" s="4">
        <v>3.5876000000000001</v>
      </c>
      <c r="G141" s="4">
        <v>3.6537000000000002</v>
      </c>
      <c r="H141" s="60">
        <v>2261</v>
      </c>
      <c r="I141" s="5">
        <v>-5.9296203934607883E-3</v>
      </c>
      <c r="J141" s="5">
        <v>0.16962665283899403</v>
      </c>
      <c r="K141" s="2">
        <v>2633317408.6855001</v>
      </c>
      <c r="L141" s="16">
        <f t="shared" si="89"/>
        <v>6.4610169517746119E-2</v>
      </c>
      <c r="M141" s="4">
        <v>3.6223000000000001</v>
      </c>
      <c r="N141" s="4">
        <v>3.6896</v>
      </c>
      <c r="O141" s="60">
        <v>2261</v>
      </c>
      <c r="P141" s="5">
        <v>9.6722042591146362E-3</v>
      </c>
      <c r="Q141" s="5">
        <v>0.17393699766658033</v>
      </c>
      <c r="R141" s="82">
        <f t="shared" si="95"/>
        <v>9.8233487202411159E-3</v>
      </c>
      <c r="S141" s="82">
        <f t="shared" si="96"/>
        <v>9.8256561841420526E-3</v>
      </c>
      <c r="T141" s="82">
        <f t="shared" si="97"/>
        <v>0</v>
      </c>
      <c r="U141" s="82">
        <f t="shared" si="98"/>
        <v>1.5601824652575425E-2</v>
      </c>
      <c r="V141" s="84">
        <f t="shared" si="99"/>
        <v>4.3103448275862988E-3</v>
      </c>
    </row>
    <row r="142" spans="1:24">
      <c r="A142" s="132">
        <v>119</v>
      </c>
      <c r="B142" s="120" t="s">
        <v>170</v>
      </c>
      <c r="C142" s="121" t="s">
        <v>114</v>
      </c>
      <c r="D142" s="2">
        <v>180498465.24000001</v>
      </c>
      <c r="E142" s="3">
        <f t="shared" si="88"/>
        <v>4.4915705296467929E-3</v>
      </c>
      <c r="F142" s="4">
        <v>171.96588299999999</v>
      </c>
      <c r="G142" s="4">
        <v>177.11637099999999</v>
      </c>
      <c r="H142" s="60">
        <v>138</v>
      </c>
      <c r="I142" s="5">
        <v>2.0999999999999999E-3</v>
      </c>
      <c r="J142" s="5">
        <v>0.1762</v>
      </c>
      <c r="K142" s="2">
        <v>182188029.22</v>
      </c>
      <c r="L142" s="16">
        <f t="shared" si="89"/>
        <v>4.4701027734762259E-3</v>
      </c>
      <c r="M142" s="4">
        <v>173.57557700000001</v>
      </c>
      <c r="N142" s="4">
        <v>178.74089900000001</v>
      </c>
      <c r="O142" s="60">
        <v>138</v>
      </c>
      <c r="P142" s="5">
        <v>6.6E-3</v>
      </c>
      <c r="Q142" s="5">
        <v>0.187</v>
      </c>
      <c r="R142" s="82">
        <f t="shared" si="95"/>
        <v>9.3605448542371725E-3</v>
      </c>
      <c r="S142" s="82">
        <f t="shared" si="96"/>
        <v>9.172093978822694E-3</v>
      </c>
      <c r="T142" s="82">
        <f t="shared" si="97"/>
        <v>0</v>
      </c>
      <c r="U142" s="82">
        <f t="shared" si="98"/>
        <v>4.5000000000000005E-3</v>
      </c>
      <c r="V142" s="84">
        <f t="shared" si="99"/>
        <v>1.0800000000000004E-2</v>
      </c>
    </row>
    <row r="143" spans="1:24">
      <c r="A143" s="125">
        <v>120</v>
      </c>
      <c r="B143" s="120" t="s">
        <v>171</v>
      </c>
      <c r="C143" s="121" t="s">
        <v>29</v>
      </c>
      <c r="D143" s="2">
        <v>1531691254.5699999</v>
      </c>
      <c r="E143" s="3">
        <f t="shared" si="88"/>
        <v>3.811500164500975E-2</v>
      </c>
      <c r="F143" s="4">
        <v>552.22</v>
      </c>
      <c r="G143" s="4">
        <v>552.22</v>
      </c>
      <c r="H143" s="60">
        <v>818</v>
      </c>
      <c r="I143" s="5">
        <v>1.56E-3</v>
      </c>
      <c r="J143" s="5">
        <v>0.33084000000000002</v>
      </c>
      <c r="K143" s="2">
        <v>1548947186.78</v>
      </c>
      <c r="L143" s="16">
        <f t="shared" ref="L143:L150" si="100">(K143/$K$151)</f>
        <v>3.8004435007266586E-2</v>
      </c>
      <c r="M143" s="4">
        <v>552.20000000000005</v>
      </c>
      <c r="N143" s="4">
        <v>552.20000000000005</v>
      </c>
      <c r="O143" s="60">
        <v>818</v>
      </c>
      <c r="P143" s="5">
        <v>1.1259999999999999E-2</v>
      </c>
      <c r="Q143" s="5">
        <v>0.345835</v>
      </c>
      <c r="R143" s="82">
        <f t="shared" si="95"/>
        <v>1.1265933756894362E-2</v>
      </c>
      <c r="S143" s="82">
        <f t="shared" si="96"/>
        <v>-3.6217449567168536E-5</v>
      </c>
      <c r="T143" s="82">
        <f t="shared" si="97"/>
        <v>0</v>
      </c>
      <c r="U143" s="82">
        <f t="shared" si="98"/>
        <v>9.6999999999999986E-3</v>
      </c>
      <c r="V143" s="84">
        <f t="shared" si="99"/>
        <v>1.4994999999999981E-2</v>
      </c>
    </row>
    <row r="144" spans="1:24">
      <c r="A144" s="131">
        <v>121</v>
      </c>
      <c r="B144" s="120" t="s">
        <v>172</v>
      </c>
      <c r="C144" s="121" t="s">
        <v>80</v>
      </c>
      <c r="D144" s="2">
        <v>25725061.23</v>
      </c>
      <c r="E144" s="3">
        <f t="shared" si="88"/>
        <v>6.4014908237802184E-4</v>
      </c>
      <c r="F144" s="4">
        <v>1.58</v>
      </c>
      <c r="G144" s="4">
        <v>1.58</v>
      </c>
      <c r="H144" s="60">
        <v>8</v>
      </c>
      <c r="I144" s="5">
        <v>1.1575E-2</v>
      </c>
      <c r="J144" s="5">
        <v>0.30399300000000001</v>
      </c>
      <c r="K144" s="2">
        <v>26171207.800000001</v>
      </c>
      <c r="L144" s="16">
        <f t="shared" si="100"/>
        <v>6.4212774611406846E-4</v>
      </c>
      <c r="M144" s="4">
        <v>1.58</v>
      </c>
      <c r="N144" s="4">
        <v>1.58</v>
      </c>
      <c r="O144" s="60">
        <v>8</v>
      </c>
      <c r="P144" s="5">
        <v>-7.4299999999999995E-4</v>
      </c>
      <c r="Q144" s="5">
        <v>0.30302400000000002</v>
      </c>
      <c r="R144" s="82">
        <f t="shared" si="95"/>
        <v>1.7342876893902744E-2</v>
      </c>
      <c r="S144" s="82">
        <f t="shared" si="96"/>
        <v>0</v>
      </c>
      <c r="T144" s="82">
        <f t="shared" si="97"/>
        <v>0</v>
      </c>
      <c r="U144" s="82">
        <f t="shared" si="98"/>
        <v>-1.2318000000000001E-2</v>
      </c>
      <c r="V144" s="84">
        <f t="shared" si="99"/>
        <v>-9.6899999999999764E-4</v>
      </c>
    </row>
    <row r="145" spans="1:22">
      <c r="A145" s="132">
        <v>122</v>
      </c>
      <c r="B145" s="120" t="s">
        <v>173</v>
      </c>
      <c r="C145" s="121" t="s">
        <v>38</v>
      </c>
      <c r="D145" s="4">
        <v>210464762.33000001</v>
      </c>
      <c r="E145" s="3">
        <f t="shared" si="88"/>
        <v>5.2372596229757528E-3</v>
      </c>
      <c r="F145" s="4">
        <v>2.1594180000000001</v>
      </c>
      <c r="G145" s="4">
        <v>2.1986270000000001</v>
      </c>
      <c r="H145" s="60">
        <v>115</v>
      </c>
      <c r="I145" s="5">
        <v>1E-3</v>
      </c>
      <c r="J145" s="5">
        <v>0.3705</v>
      </c>
      <c r="K145" s="4">
        <v>198305307.72</v>
      </c>
      <c r="L145" s="16">
        <f t="shared" si="100"/>
        <v>4.865550770977424E-3</v>
      </c>
      <c r="M145" s="4">
        <v>2.0305089999999999</v>
      </c>
      <c r="N145" s="4">
        <v>2.0703260000000001</v>
      </c>
      <c r="O145" s="60">
        <v>115</v>
      </c>
      <c r="P145" s="5">
        <v>8.0000000000000004E-4</v>
      </c>
      <c r="Q145" s="5">
        <v>0.28960000000000002</v>
      </c>
      <c r="R145" s="82">
        <f t="shared" si="95"/>
        <v>-5.7774301386065256E-2</v>
      </c>
      <c r="S145" s="82">
        <f t="shared" si="96"/>
        <v>-5.8355055223100596E-2</v>
      </c>
      <c r="T145" s="82">
        <v>1.1200000000000001</v>
      </c>
      <c r="U145" s="82">
        <f t="shared" si="98"/>
        <v>-1.9999999999999998E-4</v>
      </c>
      <c r="V145" s="84">
        <f t="shared" si="99"/>
        <v>-8.0899999999999972E-2</v>
      </c>
    </row>
    <row r="146" spans="1:22">
      <c r="A146" s="134">
        <v>123</v>
      </c>
      <c r="B146" s="120" t="s">
        <v>174</v>
      </c>
      <c r="C146" s="121" t="s">
        <v>42</v>
      </c>
      <c r="D146" s="2">
        <v>2111037201.6400001</v>
      </c>
      <c r="E146" s="3">
        <f t="shared" si="88"/>
        <v>5.2531596151062419E-2</v>
      </c>
      <c r="F146" s="4">
        <v>4750.17</v>
      </c>
      <c r="G146" s="4">
        <v>4791.7299999999996</v>
      </c>
      <c r="H146" s="60">
        <v>3581</v>
      </c>
      <c r="I146" s="5">
        <v>6.3E-3</v>
      </c>
      <c r="J146" s="5">
        <v>0.30309999999999998</v>
      </c>
      <c r="K146" s="2">
        <v>2158713052.0500002</v>
      </c>
      <c r="L146" s="3">
        <f t="shared" si="100"/>
        <v>5.2965440388268531E-2</v>
      </c>
      <c r="M146" s="4">
        <v>4796.1000000000004</v>
      </c>
      <c r="N146" s="4">
        <v>4838.97</v>
      </c>
      <c r="O146" s="60">
        <v>3590</v>
      </c>
      <c r="P146" s="5">
        <v>9.9000000000000008E-3</v>
      </c>
      <c r="Q146" s="5">
        <v>0.316</v>
      </c>
      <c r="R146" s="82">
        <f t="shared" si="95"/>
        <v>2.25840882259025E-2</v>
      </c>
      <c r="S146" s="82">
        <f t="shared" si="96"/>
        <v>9.8586523030305753E-3</v>
      </c>
      <c r="T146" s="82">
        <f t="shared" si="97"/>
        <v>2.513264451270595E-3</v>
      </c>
      <c r="U146" s="82">
        <f t="shared" si="98"/>
        <v>3.6000000000000008E-3</v>
      </c>
      <c r="V146" s="84">
        <f t="shared" si="99"/>
        <v>1.2900000000000023E-2</v>
      </c>
    </row>
    <row r="147" spans="1:22">
      <c r="A147" s="134">
        <v>124</v>
      </c>
      <c r="B147" s="120" t="s">
        <v>175</v>
      </c>
      <c r="C147" s="121" t="s">
        <v>45</v>
      </c>
      <c r="D147" s="4">
        <v>1553000618.8</v>
      </c>
      <c r="E147" s="3">
        <f t="shared" si="88"/>
        <v>3.8645269380271172E-2</v>
      </c>
      <c r="F147" s="4">
        <v>1.7354000000000001</v>
      </c>
      <c r="G147" s="4">
        <v>1.7466999999999999</v>
      </c>
      <c r="H147" s="60">
        <v>1916</v>
      </c>
      <c r="I147" s="5">
        <v>-4.8999999999999998E-3</v>
      </c>
      <c r="J147" s="5">
        <v>0.33889999999999998</v>
      </c>
      <c r="K147" s="4">
        <v>1598237154.0999999</v>
      </c>
      <c r="L147" s="16">
        <f t="shared" si="100"/>
        <v>3.9213796679188645E-2</v>
      </c>
      <c r="M147" s="4">
        <v>1.7798</v>
      </c>
      <c r="N147" s="4">
        <v>1.7912999999999999</v>
      </c>
      <c r="O147" s="60">
        <v>1926</v>
      </c>
      <c r="P147" s="5">
        <v>2.5600000000000001E-2</v>
      </c>
      <c r="Q147" s="5">
        <v>0.37130000000000002</v>
      </c>
      <c r="R147" s="82">
        <f t="shared" si="95"/>
        <v>2.9128472166968046E-2</v>
      </c>
      <c r="S147" s="82">
        <f t="shared" si="96"/>
        <v>2.5533863857559957E-2</v>
      </c>
      <c r="T147" s="82">
        <f t="shared" si="97"/>
        <v>5.2192066805845511E-3</v>
      </c>
      <c r="U147" s="82">
        <f t="shared" si="98"/>
        <v>3.0499999999999999E-2</v>
      </c>
      <c r="V147" s="84">
        <f t="shared" si="99"/>
        <v>3.240000000000004E-2</v>
      </c>
    </row>
    <row r="148" spans="1:22">
      <c r="A148" s="134">
        <v>125</v>
      </c>
      <c r="B148" s="120" t="s">
        <v>176</v>
      </c>
      <c r="C148" s="121" t="s">
        <v>45</v>
      </c>
      <c r="D148" s="4">
        <v>831323265.96000004</v>
      </c>
      <c r="E148" s="3">
        <f t="shared" si="88"/>
        <v>2.0686863331667731E-2</v>
      </c>
      <c r="F148" s="4">
        <v>1.3483000000000001</v>
      </c>
      <c r="G148" s="4">
        <v>1.3575999999999999</v>
      </c>
      <c r="H148" s="60">
        <v>467</v>
      </c>
      <c r="I148" s="5">
        <v>2.2000000000000001E-3</v>
      </c>
      <c r="J148" s="5">
        <v>0.255</v>
      </c>
      <c r="K148" s="4">
        <v>840718489.21000004</v>
      </c>
      <c r="L148" s="16">
        <f t="shared" si="100"/>
        <v>2.0627579465126639E-2</v>
      </c>
      <c r="M148" s="4">
        <v>1.3564000000000001</v>
      </c>
      <c r="N148" s="4">
        <v>1.3656999999999999</v>
      </c>
      <c r="O148" s="60">
        <v>470</v>
      </c>
      <c r="P148" s="5">
        <v>6.0000000000000001E-3</v>
      </c>
      <c r="Q148" s="5">
        <v>0.26190000000000002</v>
      </c>
      <c r="R148" s="82">
        <f t="shared" si="95"/>
        <v>1.1301528099481893E-2</v>
      </c>
      <c r="S148" s="82">
        <f t="shared" si="96"/>
        <v>5.9664113140836745E-3</v>
      </c>
      <c r="T148" s="82">
        <f t="shared" si="97"/>
        <v>6.4239828693790149E-3</v>
      </c>
      <c r="U148" s="82">
        <f t="shared" si="98"/>
        <v>3.8E-3</v>
      </c>
      <c r="V148" s="84">
        <f t="shared" si="99"/>
        <v>6.9000000000000172E-3</v>
      </c>
    </row>
    <row r="149" spans="1:22">
      <c r="A149" s="131">
        <v>126</v>
      </c>
      <c r="B149" s="120" t="s">
        <v>177</v>
      </c>
      <c r="C149" s="121" t="s">
        <v>87</v>
      </c>
      <c r="D149" s="4">
        <v>6357489545.5699997</v>
      </c>
      <c r="E149" s="3">
        <f t="shared" si="88"/>
        <v>0.15820141543836094</v>
      </c>
      <c r="F149" s="4">
        <v>311.33</v>
      </c>
      <c r="G149" s="4">
        <v>314.91000000000003</v>
      </c>
      <c r="H149" s="60">
        <v>29</v>
      </c>
      <c r="I149" s="5">
        <v>1.15E-2</v>
      </c>
      <c r="J149" s="5">
        <v>0.64800000000000002</v>
      </c>
      <c r="K149" s="4">
        <v>6701843083.9499998</v>
      </c>
      <c r="L149" s="16">
        <f t="shared" si="100"/>
        <v>0.16443411504710803</v>
      </c>
      <c r="M149" s="4">
        <v>328.29</v>
      </c>
      <c r="N149" s="4">
        <v>331.92</v>
      </c>
      <c r="O149" s="60">
        <v>29</v>
      </c>
      <c r="P149" s="5">
        <v>5.4199999999999998E-2</v>
      </c>
      <c r="Q149" s="5">
        <v>0.7339</v>
      </c>
      <c r="R149" s="82">
        <f t="shared" si="95"/>
        <v>5.4165018426172822E-2</v>
      </c>
      <c r="S149" s="82">
        <f t="shared" si="96"/>
        <v>5.4015432980851638E-2</v>
      </c>
      <c r="T149" s="82">
        <f t="shared" si="97"/>
        <v>0</v>
      </c>
      <c r="U149" s="82">
        <f t="shared" si="98"/>
        <v>4.2700000000000002E-2</v>
      </c>
      <c r="V149" s="84">
        <f t="shared" si="99"/>
        <v>8.5899999999999976E-2</v>
      </c>
    </row>
    <row r="150" spans="1:22">
      <c r="A150" s="135">
        <v>127</v>
      </c>
      <c r="B150" s="120" t="s">
        <v>178</v>
      </c>
      <c r="C150" s="121" t="s">
        <v>40</v>
      </c>
      <c r="D150" s="2">
        <v>272888951.97000003</v>
      </c>
      <c r="E150" s="3">
        <f t="shared" si="88"/>
        <v>6.7906393159902923E-3</v>
      </c>
      <c r="F150" s="4">
        <v>197.11</v>
      </c>
      <c r="G150" s="4">
        <v>200.15</v>
      </c>
      <c r="H150" s="60">
        <v>734</v>
      </c>
      <c r="I150" s="5">
        <v>1E-3</v>
      </c>
      <c r="J150" s="5">
        <v>0.4012</v>
      </c>
      <c r="K150" s="2">
        <v>276627458.85000002</v>
      </c>
      <c r="L150" s="16">
        <f t="shared" si="100"/>
        <v>6.7872361116101312E-3</v>
      </c>
      <c r="M150" s="4">
        <v>199.69</v>
      </c>
      <c r="N150" s="4">
        <v>202.79</v>
      </c>
      <c r="O150" s="60">
        <v>734</v>
      </c>
      <c r="P150" s="5">
        <v>1.37E-2</v>
      </c>
      <c r="Q150" s="5">
        <v>0.42009999999999997</v>
      </c>
      <c r="R150" s="82">
        <f t="shared" si="95"/>
        <v>1.3699737028602707E-2</v>
      </c>
      <c r="S150" s="82">
        <f t="shared" si="96"/>
        <v>1.3190107419435354E-2</v>
      </c>
      <c r="T150" s="82">
        <f t="shared" si="97"/>
        <v>0</v>
      </c>
      <c r="U150" s="82">
        <f t="shared" si="98"/>
        <v>1.2699999999999999E-2</v>
      </c>
      <c r="V150" s="84">
        <f t="shared" si="99"/>
        <v>1.8899999999999972E-2</v>
      </c>
    </row>
    <row r="151" spans="1:22">
      <c r="A151" s="85"/>
      <c r="B151" s="19"/>
      <c r="C151" s="72" t="s">
        <v>46</v>
      </c>
      <c r="D151" s="73">
        <f>SUM(D127:D150)</f>
        <v>40186047185.191147</v>
      </c>
      <c r="E151" s="105">
        <f>(D151/$D$176)</f>
        <v>1.9856749442685617E-2</v>
      </c>
      <c r="F151" s="30"/>
      <c r="G151" s="36"/>
      <c r="H151" s="66">
        <f>SUM(H127:H150)</f>
        <v>69888</v>
      </c>
      <c r="I151" s="37"/>
      <c r="J151" s="37"/>
      <c r="K151" s="73">
        <f>SUM(K127:K150)</f>
        <v>40757011293.125015</v>
      </c>
      <c r="L151" s="105">
        <f>(K151/$K$176)</f>
        <v>1.9221544985494762E-2</v>
      </c>
      <c r="M151" s="30"/>
      <c r="N151" s="36"/>
      <c r="O151" s="66">
        <f>SUM(O127:O150)</f>
        <v>69916</v>
      </c>
      <c r="P151" s="37"/>
      <c r="Q151" s="37"/>
      <c r="R151" s="82">
        <f t="shared" si="95"/>
        <v>1.420801865141573E-2</v>
      </c>
      <c r="S151" s="82" t="e">
        <f t="shared" si="96"/>
        <v>#DIV/0!</v>
      </c>
      <c r="T151" s="82">
        <f t="shared" si="97"/>
        <v>4.0064102564102563E-4</v>
      </c>
      <c r="U151" s="82">
        <f t="shared" si="98"/>
        <v>0</v>
      </c>
      <c r="V151" s="84">
        <f t="shared" si="99"/>
        <v>0</v>
      </c>
    </row>
    <row r="152" spans="1:22" ht="8.25" customHeight="1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</row>
    <row r="153" spans="1:22" ht="15" customHeight="1">
      <c r="A153" s="140" t="s">
        <v>179</v>
      </c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</row>
    <row r="154" spans="1:22">
      <c r="A154" s="134">
        <v>128</v>
      </c>
      <c r="B154" s="120" t="s">
        <v>180</v>
      </c>
      <c r="C154" s="121" t="s">
        <v>21</v>
      </c>
      <c r="D154" s="17">
        <v>741342805.66999996</v>
      </c>
      <c r="E154" s="3">
        <f>(D154/$D$157)</f>
        <v>0.17507231391454389</v>
      </c>
      <c r="F154" s="17">
        <v>53.578600000000002</v>
      </c>
      <c r="G154" s="17">
        <v>55.194000000000003</v>
      </c>
      <c r="H154" s="62">
        <v>1404</v>
      </c>
      <c r="I154" s="6">
        <v>8.4400000000000003E-2</v>
      </c>
      <c r="J154" s="6">
        <v>0.19570000000000001</v>
      </c>
      <c r="K154" s="17">
        <v>744273521.63</v>
      </c>
      <c r="L154" s="16">
        <f>(K154/$K$157)</f>
        <v>0.1744729315446977</v>
      </c>
      <c r="M154" s="17">
        <v>53.634500000000003</v>
      </c>
      <c r="N154" s="17">
        <v>55.251600000000003</v>
      </c>
      <c r="O154" s="62">
        <v>1410</v>
      </c>
      <c r="P154" s="6">
        <v>5.4399999999999997E-2</v>
      </c>
      <c r="Q154" s="6">
        <v>0.19289999999999999</v>
      </c>
      <c r="R154" s="82">
        <f t="shared" ref="R154" si="101">((K154-D154)/D154)</f>
        <v>3.9532533904491846E-3</v>
      </c>
      <c r="S154" s="82">
        <f t="shared" ref="S154" si="102">((N154-G154)/G154)</f>
        <v>1.0435916947494431E-3</v>
      </c>
      <c r="T154" s="82">
        <f t="shared" ref="T154" si="103">((O154-H154)/H154)</f>
        <v>4.2735042735042739E-3</v>
      </c>
      <c r="U154" s="82">
        <f t="shared" ref="U154" si="104">P154-I154</f>
        <v>-3.0000000000000006E-2</v>
      </c>
      <c r="V154" s="84">
        <f t="shared" ref="V154" si="105">Q154-J154</f>
        <v>-2.8000000000000247E-3</v>
      </c>
    </row>
    <row r="155" spans="1:22">
      <c r="A155" s="128">
        <v>129</v>
      </c>
      <c r="B155" s="120" t="s">
        <v>181</v>
      </c>
      <c r="C155" s="121" t="s">
        <v>182</v>
      </c>
      <c r="D155" s="100">
        <v>788073599.53999996</v>
      </c>
      <c r="E155" s="3">
        <f>(D155/$D$157)</f>
        <v>0.18610805628812846</v>
      </c>
      <c r="F155" s="17">
        <v>21.459599999999998</v>
      </c>
      <c r="G155" s="17">
        <v>21.687999999999999</v>
      </c>
      <c r="H155" s="60">
        <v>1507</v>
      </c>
      <c r="I155" s="5">
        <v>1.14E-2</v>
      </c>
      <c r="J155" s="5">
        <v>0.35799999999999998</v>
      </c>
      <c r="K155" s="100">
        <v>784691233.37</v>
      </c>
      <c r="L155" s="16">
        <f>(K155/$K$157)</f>
        <v>0.18394766959283157</v>
      </c>
      <c r="M155" s="17">
        <v>21.5913</v>
      </c>
      <c r="N155" s="17">
        <v>21.822500000000002</v>
      </c>
      <c r="O155" s="60">
        <v>1505</v>
      </c>
      <c r="P155" s="5">
        <v>1.6000000000000001E-3</v>
      </c>
      <c r="Q155" s="5">
        <v>0.3664</v>
      </c>
      <c r="R155" s="82">
        <f t="shared" ref="R155:R157" si="106">((K155-D155)/D155)</f>
        <v>-4.29194198609654E-3</v>
      </c>
      <c r="S155" s="82">
        <f t="shared" ref="S155:S157" si="107">((N155-G155)/G155)</f>
        <v>6.2015861305792482E-3</v>
      </c>
      <c r="T155" s="82">
        <f t="shared" ref="T155:T157" si="108">((O155-H155)/H155)</f>
        <v>-1.3271400132714001E-3</v>
      </c>
      <c r="U155" s="82">
        <f t="shared" ref="U155:U157" si="109">P155-I155</f>
        <v>-9.7999999999999997E-3</v>
      </c>
      <c r="V155" s="84">
        <f t="shared" ref="V155:V157" si="110">Q155-J155</f>
        <v>8.4000000000000186E-3</v>
      </c>
    </row>
    <row r="156" spans="1:22">
      <c r="A156" s="134">
        <v>130</v>
      </c>
      <c r="B156" s="120" t="s">
        <v>183</v>
      </c>
      <c r="C156" s="121" t="s">
        <v>42</v>
      </c>
      <c r="D156" s="9">
        <v>2705078410.6399999</v>
      </c>
      <c r="E156" s="3">
        <f>(D156/$D$157)</f>
        <v>0.63881962979732765</v>
      </c>
      <c r="F156" s="17">
        <v>1.97</v>
      </c>
      <c r="G156" s="17">
        <v>2</v>
      </c>
      <c r="H156" s="60">
        <v>17779</v>
      </c>
      <c r="I156" s="5">
        <v>1.01E-2</v>
      </c>
      <c r="J156" s="5">
        <v>0.38890000000000002</v>
      </c>
      <c r="K156" s="9">
        <v>2736874736.7800002</v>
      </c>
      <c r="L156" s="16">
        <f>(K156/$K$157)</f>
        <v>0.64157939886247073</v>
      </c>
      <c r="M156" s="17">
        <v>1.99</v>
      </c>
      <c r="N156" s="17">
        <v>2.0099999999999998</v>
      </c>
      <c r="O156" s="60">
        <v>17791</v>
      </c>
      <c r="P156" s="5">
        <v>5.0000000000000001E-3</v>
      </c>
      <c r="Q156" s="5">
        <v>0.39579999999999999</v>
      </c>
      <c r="R156" s="82">
        <f t="shared" si="106"/>
        <v>1.1754308494324786E-2</v>
      </c>
      <c r="S156" s="82">
        <f t="shared" si="107"/>
        <v>4.9999999999998934E-3</v>
      </c>
      <c r="T156" s="82">
        <f t="shared" si="108"/>
        <v>6.7495359694021032E-4</v>
      </c>
      <c r="U156" s="82">
        <f t="shared" si="109"/>
        <v>-5.0999999999999995E-3</v>
      </c>
      <c r="V156" s="84">
        <f t="shared" si="110"/>
        <v>6.8999999999999617E-3</v>
      </c>
    </row>
    <row r="157" spans="1:22">
      <c r="A157" s="76"/>
      <c r="B157" s="19"/>
      <c r="C157" s="67" t="s">
        <v>46</v>
      </c>
      <c r="D157" s="73">
        <f>SUM(D154:D156)</f>
        <v>4234494815.8499999</v>
      </c>
      <c r="E157" s="105">
        <f>(D157/$D$176)</f>
        <v>2.0923506655730483E-3</v>
      </c>
      <c r="F157" s="30"/>
      <c r="G157" s="36"/>
      <c r="H157" s="66">
        <f>SUM(H154:H156)</f>
        <v>20690</v>
      </c>
      <c r="I157" s="37"/>
      <c r="J157" s="37"/>
      <c r="K157" s="73">
        <f>SUM(K154:K156)</f>
        <v>4265839491.7800002</v>
      </c>
      <c r="L157" s="105">
        <f>(K157/$K$176)</f>
        <v>2.0118262622946708E-3</v>
      </c>
      <c r="M157" s="30"/>
      <c r="N157" s="36"/>
      <c r="O157" s="66">
        <f>SUM(O154:O156)</f>
        <v>20706</v>
      </c>
      <c r="P157" s="37"/>
      <c r="Q157" s="37"/>
      <c r="R157" s="82">
        <f t="shared" si="106"/>
        <v>7.4022232386907333E-3</v>
      </c>
      <c r="S157" s="82" t="e">
        <f t="shared" si="107"/>
        <v>#DIV/0!</v>
      </c>
      <c r="T157" s="82">
        <f t="shared" si="108"/>
        <v>7.7332044465925568E-4</v>
      </c>
      <c r="U157" s="82">
        <f t="shared" si="109"/>
        <v>0</v>
      </c>
      <c r="V157" s="84">
        <f t="shared" si="110"/>
        <v>0</v>
      </c>
    </row>
    <row r="158" spans="1:22" ht="6" customHeight="1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</row>
    <row r="159" spans="1:22" ht="15" customHeight="1">
      <c r="A159" s="140" t="s">
        <v>184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</row>
    <row r="160" spans="1:22">
      <c r="A160" s="141" t="s">
        <v>233</v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</row>
    <row r="161" spans="1:24">
      <c r="A161" s="131">
        <v>131</v>
      </c>
      <c r="B161" s="120" t="s">
        <v>185</v>
      </c>
      <c r="C161" s="121" t="s">
        <v>186</v>
      </c>
      <c r="D161" s="13">
        <v>3624534741.4299998</v>
      </c>
      <c r="E161" s="3">
        <f>(D161/$D$175)</f>
        <v>7.8951516485358961E-2</v>
      </c>
      <c r="F161" s="18">
        <v>1.77</v>
      </c>
      <c r="G161" s="18">
        <v>1.8</v>
      </c>
      <c r="H161" s="61">
        <v>14945</v>
      </c>
      <c r="I161" s="12">
        <v>2E-3</v>
      </c>
      <c r="J161" s="12">
        <v>0.1515</v>
      </c>
      <c r="K161" s="13">
        <v>3640572892.4699998</v>
      </c>
      <c r="L161" s="3">
        <f>(K161/$K$175)</f>
        <v>8.0447768578178813E-2</v>
      </c>
      <c r="M161" s="18">
        <v>1.78</v>
      </c>
      <c r="N161" s="18">
        <v>1.81</v>
      </c>
      <c r="O161" s="61">
        <v>14967</v>
      </c>
      <c r="P161" s="12">
        <v>4.1999999999999997E-3</v>
      </c>
      <c r="Q161" s="12">
        <v>0.15620000000000001</v>
      </c>
      <c r="R161" s="82">
        <f t="shared" ref="R161" si="111">((K161-D161)/D161)</f>
        <v>4.4248854498970466E-3</v>
      </c>
      <c r="S161" s="82">
        <f t="shared" ref="S161:S162" si="112">((N161-G161)/G161)</f>
        <v>5.5555555555555601E-3</v>
      </c>
      <c r="T161" s="82">
        <f t="shared" ref="T161" si="113">((O161-H161)/H161)</f>
        <v>1.4720642355302777E-3</v>
      </c>
      <c r="U161" s="82">
        <f t="shared" ref="U161" si="114">P161-I161</f>
        <v>2.1999999999999997E-3</v>
      </c>
      <c r="V161" s="84">
        <f t="shared" ref="V161" si="115">Q161-J161</f>
        <v>4.7000000000000097E-3</v>
      </c>
    </row>
    <row r="162" spans="1:24">
      <c r="A162" s="134">
        <v>132</v>
      </c>
      <c r="B162" s="120" t="s">
        <v>187</v>
      </c>
      <c r="C162" s="121" t="s">
        <v>42</v>
      </c>
      <c r="D162" s="13">
        <v>542450342.75</v>
      </c>
      <c r="E162" s="3">
        <f>(D162/$D$175)</f>
        <v>1.1815937832952997E-2</v>
      </c>
      <c r="F162" s="18">
        <v>367.37</v>
      </c>
      <c r="G162" s="18">
        <v>371.68</v>
      </c>
      <c r="H162" s="61">
        <v>1303</v>
      </c>
      <c r="I162" s="12">
        <v>-2.3E-3</v>
      </c>
      <c r="J162" s="12">
        <v>0.4</v>
      </c>
      <c r="K162" s="13">
        <v>538412624.20000005</v>
      </c>
      <c r="L162" s="3">
        <f>(K162/$K$175)</f>
        <v>1.1897603885586392E-2</v>
      </c>
      <c r="M162" s="18">
        <v>366.08</v>
      </c>
      <c r="N162" s="18">
        <v>370.38</v>
      </c>
      <c r="O162" s="61">
        <v>1307</v>
      </c>
      <c r="P162" s="12">
        <v>-3.5000000000000001E-3</v>
      </c>
      <c r="Q162" s="12">
        <v>0.39510000000000001</v>
      </c>
      <c r="R162" s="82">
        <f t="shared" ref="R162" si="116">((K162-D162)/D162)</f>
        <v>-7.4434805028058071E-3</v>
      </c>
      <c r="S162" s="82">
        <f t="shared" si="112"/>
        <v>-3.4976323719328761E-3</v>
      </c>
      <c r="T162" s="82">
        <f t="shared" ref="T162" si="117">((O162-H162)/H162)</f>
        <v>3.0698388334612432E-3</v>
      </c>
      <c r="U162" s="82">
        <f t="shared" ref="U162" si="118">P162-I162</f>
        <v>-1.2000000000000001E-3</v>
      </c>
      <c r="V162" s="84">
        <f t="shared" ref="V162" si="119">Q162-J162</f>
        <v>-4.9000000000000155E-3</v>
      </c>
    </row>
    <row r="163" spans="1:24" ht="6" customHeight="1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</row>
    <row r="164" spans="1:24" ht="15" customHeight="1">
      <c r="A164" s="141" t="s">
        <v>232</v>
      </c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</row>
    <row r="165" spans="1:24">
      <c r="A165" s="123">
        <v>133</v>
      </c>
      <c r="B165" s="120" t="s">
        <v>188</v>
      </c>
      <c r="C165" s="121" t="s">
        <v>189</v>
      </c>
      <c r="D165" s="2">
        <v>405528363.41000003</v>
      </c>
      <c r="E165" s="3">
        <f t="shared" ref="E165:E174" si="120">(D165/$D$175)</f>
        <v>8.8334314755149652E-3</v>
      </c>
      <c r="F165" s="2">
        <v>1026.76</v>
      </c>
      <c r="G165" s="2">
        <v>1026.76</v>
      </c>
      <c r="H165" s="60">
        <v>21</v>
      </c>
      <c r="I165" s="5">
        <v>2.7000000000000001E-3</v>
      </c>
      <c r="J165" s="5">
        <v>9.5399999999999999E-2</v>
      </c>
      <c r="K165" s="2">
        <v>405319817.62</v>
      </c>
      <c r="L165" s="3">
        <f t="shared" ref="L165:L174" si="121">(K165/$K$175)</f>
        <v>8.9565779483461068E-3</v>
      </c>
      <c r="M165" s="2">
        <v>1026.18</v>
      </c>
      <c r="N165" s="2">
        <v>1026.18</v>
      </c>
      <c r="O165" s="60">
        <v>21</v>
      </c>
      <c r="P165" s="5">
        <v>2.5999999999999999E-3</v>
      </c>
      <c r="Q165" s="5">
        <v>9.7199999999999995E-2</v>
      </c>
      <c r="R165" s="82">
        <f t="shared" ref="R165" si="122">((K165-D165)/D165)</f>
        <v>-5.1425697637128302E-4</v>
      </c>
      <c r="S165" s="82">
        <f t="shared" ref="S165" si="123">((N165-G165)/G165)</f>
        <v>-5.6488371187027862E-4</v>
      </c>
      <c r="T165" s="82">
        <f t="shared" ref="T165" si="124">((O165-H165)/H165)</f>
        <v>0</v>
      </c>
      <c r="U165" s="82">
        <f t="shared" ref="U165" si="125">P165-I165</f>
        <v>-1.0000000000000026E-4</v>
      </c>
      <c r="V165" s="84">
        <f t="shared" ref="V165" si="126">Q165-J165</f>
        <v>1.799999999999996E-3</v>
      </c>
      <c r="X165" s="71"/>
    </row>
    <row r="166" spans="1:24">
      <c r="A166" s="135">
        <v>134</v>
      </c>
      <c r="B166" s="120" t="s">
        <v>190</v>
      </c>
      <c r="C166" s="121" t="s">
        <v>58</v>
      </c>
      <c r="D166" s="2">
        <v>53962953.979999997</v>
      </c>
      <c r="E166" s="3">
        <f t="shared" si="120"/>
        <v>1.1754493623834723E-3</v>
      </c>
      <c r="F166" s="17">
        <v>108.57</v>
      </c>
      <c r="G166" s="17">
        <v>108.57</v>
      </c>
      <c r="H166" s="60">
        <v>60</v>
      </c>
      <c r="I166" s="5">
        <v>1.1000000000000001E-3</v>
      </c>
      <c r="J166" s="5">
        <v>0.11219999999999999</v>
      </c>
      <c r="K166" s="2">
        <v>54047913.579999998</v>
      </c>
      <c r="L166" s="3">
        <f t="shared" si="121"/>
        <v>1.1943268744352103E-3</v>
      </c>
      <c r="M166" s="17">
        <v>108.64</v>
      </c>
      <c r="N166" s="17">
        <v>108.64</v>
      </c>
      <c r="O166" s="60">
        <v>60</v>
      </c>
      <c r="P166" s="5">
        <v>5.9999999999999995E-4</v>
      </c>
      <c r="Q166" s="5">
        <v>0.1106</v>
      </c>
      <c r="R166" s="82">
        <f t="shared" ref="R166:R176" si="127">((K166-D166)/D166)</f>
        <v>1.5744060273551669E-3</v>
      </c>
      <c r="S166" s="82">
        <f t="shared" ref="S166:S175" si="128">((N166-G166)/G166)</f>
        <v>6.4474532559645752E-4</v>
      </c>
      <c r="T166" s="82">
        <f t="shared" ref="T166:T175" si="129">((O166-H166)/H166)</f>
        <v>0</v>
      </c>
      <c r="U166" s="82">
        <f t="shared" ref="U166:U175" si="130">P166-I166</f>
        <v>-5.0000000000000012E-4</v>
      </c>
      <c r="V166" s="84">
        <f t="shared" ref="V166:V175" si="131">Q166-J166</f>
        <v>-1.5999999999999903E-3</v>
      </c>
    </row>
    <row r="167" spans="1:24">
      <c r="A167" s="134">
        <v>135</v>
      </c>
      <c r="B167" s="136" t="s">
        <v>191</v>
      </c>
      <c r="C167" s="121" t="s">
        <v>64</v>
      </c>
      <c r="D167" s="9">
        <v>54170003.240000002</v>
      </c>
      <c r="E167" s="3">
        <f t="shared" si="120"/>
        <v>1.1799594179437956E-3</v>
      </c>
      <c r="F167" s="17">
        <v>103.62</v>
      </c>
      <c r="G167" s="17">
        <v>110.45</v>
      </c>
      <c r="H167" s="60">
        <v>10</v>
      </c>
      <c r="I167" s="5">
        <v>-1E-3</v>
      </c>
      <c r="J167" s="5">
        <v>7.9799999999999996E-2</v>
      </c>
      <c r="K167" s="9">
        <v>54290952.549999997</v>
      </c>
      <c r="L167" s="3">
        <f t="shared" si="121"/>
        <v>1.1996974420330957E-3</v>
      </c>
      <c r="M167" s="17">
        <v>103.74</v>
      </c>
      <c r="N167" s="17">
        <v>110.71</v>
      </c>
      <c r="O167" s="60">
        <v>12</v>
      </c>
      <c r="P167" s="5">
        <v>1.8E-3</v>
      </c>
      <c r="Q167" s="5">
        <v>8.1600000000000006E-2</v>
      </c>
      <c r="R167" s="82">
        <f t="shared" si="127"/>
        <v>2.2327728035039882E-3</v>
      </c>
      <c r="S167" s="82">
        <f t="shared" si="128"/>
        <v>2.3540063377092886E-3</v>
      </c>
      <c r="T167" s="82">
        <f t="shared" si="129"/>
        <v>0.2</v>
      </c>
      <c r="U167" s="82">
        <f t="shared" si="130"/>
        <v>2.8E-3</v>
      </c>
      <c r="V167" s="84">
        <f t="shared" si="131"/>
        <v>1.8000000000000099E-3</v>
      </c>
    </row>
    <row r="168" spans="1:24">
      <c r="A168" s="128">
        <v>136</v>
      </c>
      <c r="B168" s="120" t="s">
        <v>192</v>
      </c>
      <c r="C168" s="121" t="s">
        <v>27</v>
      </c>
      <c r="D168" s="2">
        <v>8430758217.1499996</v>
      </c>
      <c r="E168" s="3">
        <f t="shared" si="120"/>
        <v>0.183643196672129</v>
      </c>
      <c r="F168" s="17">
        <v>131.94</v>
      </c>
      <c r="G168" s="17">
        <v>131.94</v>
      </c>
      <c r="H168" s="60">
        <v>611</v>
      </c>
      <c r="I168" s="5">
        <v>2.3999999999999998E-3</v>
      </c>
      <c r="J168" s="5">
        <v>0.12939999999999999</v>
      </c>
      <c r="K168" s="2">
        <v>8190670317.3400002</v>
      </c>
      <c r="L168" s="3">
        <f t="shared" si="121"/>
        <v>0.1809938077472395</v>
      </c>
      <c r="M168" s="17">
        <v>132.31</v>
      </c>
      <c r="N168" s="17">
        <v>132.31</v>
      </c>
      <c r="O168" s="60">
        <v>612</v>
      </c>
      <c r="P168" s="5">
        <v>2.8E-3</v>
      </c>
      <c r="Q168" s="5">
        <v>0.1338</v>
      </c>
      <c r="R168" s="82">
        <f t="shared" si="127"/>
        <v>-2.8477616559043094E-2</v>
      </c>
      <c r="S168" s="82">
        <f t="shared" si="128"/>
        <v>2.8043049871153899E-3</v>
      </c>
      <c r="T168" s="82">
        <f t="shared" si="129"/>
        <v>1.6366612111292963E-3</v>
      </c>
      <c r="U168" s="82">
        <f t="shared" si="130"/>
        <v>4.0000000000000018E-4</v>
      </c>
      <c r="V168" s="84">
        <f t="shared" si="131"/>
        <v>4.400000000000015E-3</v>
      </c>
    </row>
    <row r="169" spans="1:24">
      <c r="A169" s="131">
        <v>137</v>
      </c>
      <c r="B169" s="120" t="s">
        <v>193</v>
      </c>
      <c r="C169" s="121" t="s">
        <v>186</v>
      </c>
      <c r="D169" s="2">
        <v>18058937413.5</v>
      </c>
      <c r="E169" s="3">
        <f t="shared" si="120"/>
        <v>0.39336924505446813</v>
      </c>
      <c r="F169" s="7">
        <v>1201.24</v>
      </c>
      <c r="G169" s="7">
        <v>1201.24</v>
      </c>
      <c r="H169" s="60">
        <v>7279</v>
      </c>
      <c r="I169" s="5">
        <v>2.2000000000000001E-3</v>
      </c>
      <c r="J169" s="5">
        <v>9.7699999999999995E-2</v>
      </c>
      <c r="K169" s="2">
        <v>17599213916.599998</v>
      </c>
      <c r="L169" s="3">
        <f t="shared" si="121"/>
        <v>0.3888996402870864</v>
      </c>
      <c r="M169" s="7">
        <v>1204.22</v>
      </c>
      <c r="N169" s="7">
        <v>1204.22</v>
      </c>
      <c r="O169" s="60">
        <v>7178</v>
      </c>
      <c r="P169" s="5">
        <v>2.5000000000000001E-3</v>
      </c>
      <c r="Q169" s="5">
        <v>0.1002</v>
      </c>
      <c r="R169" s="82">
        <f t="shared" si="127"/>
        <v>-2.5456840918908891E-2</v>
      </c>
      <c r="S169" s="82">
        <f t="shared" si="128"/>
        <v>2.4807698711331776E-3</v>
      </c>
      <c r="T169" s="82">
        <f t="shared" si="129"/>
        <v>-1.387553235334524E-2</v>
      </c>
      <c r="U169" s="82">
        <f t="shared" si="130"/>
        <v>2.9999999999999992E-4</v>
      </c>
      <c r="V169" s="84">
        <f t="shared" si="131"/>
        <v>2.5000000000000022E-3</v>
      </c>
    </row>
    <row r="170" spans="1:24">
      <c r="A170" s="129">
        <v>138</v>
      </c>
      <c r="B170" s="120" t="s">
        <v>194</v>
      </c>
      <c r="C170" s="121" t="s">
        <v>78</v>
      </c>
      <c r="D170" s="2">
        <v>775726941.55999994</v>
      </c>
      <c r="E170" s="3">
        <f t="shared" si="120"/>
        <v>1.689729104115258E-2</v>
      </c>
      <c r="F170" s="14">
        <v>103.45</v>
      </c>
      <c r="G170" s="14">
        <v>103.45</v>
      </c>
      <c r="H170" s="60">
        <v>520</v>
      </c>
      <c r="I170" s="5">
        <v>2E-3</v>
      </c>
      <c r="J170" s="5">
        <v>9.3299999999999994E-2</v>
      </c>
      <c r="K170" s="2">
        <v>783324604.75</v>
      </c>
      <c r="L170" s="3">
        <f t="shared" si="121"/>
        <v>1.7309560441671798E-2</v>
      </c>
      <c r="M170" s="14">
        <v>103.66</v>
      </c>
      <c r="N170" s="14">
        <v>103.66</v>
      </c>
      <c r="O170" s="60">
        <v>523</v>
      </c>
      <c r="P170" s="5">
        <v>2.3999999999999998E-3</v>
      </c>
      <c r="Q170" s="5">
        <v>9.5399999999999999E-2</v>
      </c>
      <c r="R170" s="82">
        <f t="shared" si="127"/>
        <v>9.7942494748487503E-3</v>
      </c>
      <c r="S170" s="82">
        <f t="shared" si="128"/>
        <v>2.0299661672304858E-3</v>
      </c>
      <c r="T170" s="82">
        <f t="shared" si="129"/>
        <v>5.7692307692307696E-3</v>
      </c>
      <c r="U170" s="82">
        <f t="shared" si="130"/>
        <v>3.9999999999999975E-4</v>
      </c>
      <c r="V170" s="84">
        <f t="shared" si="131"/>
        <v>2.1000000000000046E-3</v>
      </c>
    </row>
    <row r="171" spans="1:24" ht="15.75" customHeight="1">
      <c r="A171" s="134">
        <v>139</v>
      </c>
      <c r="B171" s="120" t="s">
        <v>195</v>
      </c>
      <c r="C171" s="121" t="s">
        <v>42</v>
      </c>
      <c r="D171" s="2">
        <v>8388657501.1000004</v>
      </c>
      <c r="E171" s="3">
        <f t="shared" si="120"/>
        <v>0.18272613679703023</v>
      </c>
      <c r="F171" s="14">
        <v>127.39</v>
      </c>
      <c r="G171" s="14">
        <v>127.39</v>
      </c>
      <c r="H171" s="60">
        <v>1933</v>
      </c>
      <c r="I171" s="5">
        <v>1.2999999999999999E-3</v>
      </c>
      <c r="J171" s="5">
        <v>5.2600000000000001E-2</v>
      </c>
      <c r="K171" s="2">
        <v>8380527031</v>
      </c>
      <c r="L171" s="3">
        <f t="shared" si="121"/>
        <v>0.18518917738126725</v>
      </c>
      <c r="M171" s="14">
        <v>127.55</v>
      </c>
      <c r="N171" s="14">
        <v>127.55</v>
      </c>
      <c r="O171" s="60">
        <v>1934</v>
      </c>
      <c r="P171" s="5">
        <v>1.2999999999999999E-3</v>
      </c>
      <c r="Q171" s="5">
        <v>5.3999999999999999E-2</v>
      </c>
      <c r="R171" s="82">
        <f t="shared" si="127"/>
        <v>-9.6922184496556652E-4</v>
      </c>
      <c r="S171" s="82">
        <f t="shared" si="128"/>
        <v>1.2559855561660772E-3</v>
      </c>
      <c r="T171" s="82">
        <f t="shared" si="129"/>
        <v>5.1733057423693739E-4</v>
      </c>
      <c r="U171" s="82">
        <f t="shared" si="130"/>
        <v>0</v>
      </c>
      <c r="V171" s="84">
        <f t="shared" si="131"/>
        <v>1.3999999999999985E-3</v>
      </c>
    </row>
    <row r="172" spans="1:24">
      <c r="A172" s="134">
        <v>140</v>
      </c>
      <c r="B172" s="120" t="s">
        <v>196</v>
      </c>
      <c r="C172" s="121" t="s">
        <v>45</v>
      </c>
      <c r="D172" s="2">
        <v>5191367709.2600002</v>
      </c>
      <c r="E172" s="3">
        <f t="shared" si="120"/>
        <v>0.11308109385578552</v>
      </c>
      <c r="F172" s="14">
        <v>1.1686000000000001</v>
      </c>
      <c r="G172" s="14">
        <v>1.1686000000000001</v>
      </c>
      <c r="H172" s="60">
        <v>574</v>
      </c>
      <c r="I172" s="5">
        <v>1.8E-3</v>
      </c>
      <c r="J172" s="5">
        <v>0.1038</v>
      </c>
      <c r="K172" s="2">
        <v>5223223240.5799999</v>
      </c>
      <c r="L172" s="3">
        <f t="shared" si="121"/>
        <v>0.11542047554094062</v>
      </c>
      <c r="M172" s="14">
        <v>1.1707000000000001</v>
      </c>
      <c r="N172" s="14">
        <v>1.1707000000000001</v>
      </c>
      <c r="O172" s="60">
        <v>580</v>
      </c>
      <c r="P172" s="5">
        <v>1.8E-3</v>
      </c>
      <c r="Q172" s="5">
        <v>0.1057</v>
      </c>
      <c r="R172" s="82">
        <f t="shared" si="127"/>
        <v>6.136250233859955E-3</v>
      </c>
      <c r="S172" s="82">
        <f t="shared" si="128"/>
        <v>1.7970220776998037E-3</v>
      </c>
      <c r="T172" s="82">
        <f t="shared" si="129"/>
        <v>1.0452961672473868E-2</v>
      </c>
      <c r="U172" s="82">
        <f t="shared" si="130"/>
        <v>0</v>
      </c>
      <c r="V172" s="84">
        <f t="shared" si="131"/>
        <v>1.8999999999999989E-3</v>
      </c>
    </row>
    <row r="173" spans="1:24">
      <c r="A173" s="137">
        <v>141</v>
      </c>
      <c r="B173" s="120" t="s">
        <v>197</v>
      </c>
      <c r="C173" s="121" t="s">
        <v>198</v>
      </c>
      <c r="D173" s="2">
        <v>340237080.16000003</v>
      </c>
      <c r="E173" s="3">
        <f t="shared" ref="E173" si="132">(D173/$D$175)</f>
        <v>7.4112225042667389E-3</v>
      </c>
      <c r="F173" s="18">
        <v>99.324600000000004</v>
      </c>
      <c r="G173" s="18">
        <v>99.367400000000004</v>
      </c>
      <c r="H173" s="61">
        <v>142</v>
      </c>
      <c r="I173" s="5">
        <v>4.4900000000000002E-4</v>
      </c>
      <c r="J173" s="5">
        <v>-6.7539999999999996E-3</v>
      </c>
      <c r="K173" s="2">
        <v>341937080.16000003</v>
      </c>
      <c r="L173" s="3">
        <f t="shared" ref="L173" si="133">(K173/$K$175)</f>
        <v>7.5559742671012986E-3</v>
      </c>
      <c r="M173" s="18">
        <v>98.868499999999997</v>
      </c>
      <c r="N173" s="18">
        <v>98.918700000000001</v>
      </c>
      <c r="O173" s="61">
        <v>145</v>
      </c>
      <c r="P173" s="5">
        <v>-4.5919999999999997E-3</v>
      </c>
      <c r="Q173" s="5">
        <v>-1.1315E-2</v>
      </c>
      <c r="R173" s="82">
        <f t="shared" ref="R173" si="134">((K173-D173)/D173)</f>
        <v>4.9965159564635264E-3</v>
      </c>
      <c r="S173" s="82">
        <f t="shared" ref="S173" si="135">((N173-G173)/G173)</f>
        <v>-4.5155654671451837E-3</v>
      </c>
      <c r="T173" s="82">
        <f t="shared" ref="T173" si="136">((O173-H173)/H173)</f>
        <v>2.1126760563380281E-2</v>
      </c>
      <c r="U173" s="82">
        <f t="shared" ref="U173" si="137">P173-I173</f>
        <v>-5.0409999999999995E-3</v>
      </c>
      <c r="V173" s="84">
        <f t="shared" ref="V173" si="138">Q173-J173</f>
        <v>-4.5610000000000008E-3</v>
      </c>
    </row>
    <row r="174" spans="1:24">
      <c r="A174" s="137">
        <v>142</v>
      </c>
      <c r="B174" s="120" t="s">
        <v>245</v>
      </c>
      <c r="C174" s="121" t="s">
        <v>198</v>
      </c>
      <c r="D174" s="2">
        <v>42030000</v>
      </c>
      <c r="E174" s="3">
        <f t="shared" si="120"/>
        <v>9.1551950101337537E-4</v>
      </c>
      <c r="F174" s="18">
        <v>100.0354</v>
      </c>
      <c r="G174" s="18">
        <v>100.0354</v>
      </c>
      <c r="H174" s="61">
        <v>47</v>
      </c>
      <c r="I174" s="5">
        <v>3.5399999999999999E-4</v>
      </c>
      <c r="J174" s="12">
        <v>3.9999999999999998E-6</v>
      </c>
      <c r="K174" s="2">
        <v>42330000</v>
      </c>
      <c r="L174" s="3">
        <f t="shared" si="121"/>
        <v>9.353896061133107E-4</v>
      </c>
      <c r="M174" s="18">
        <v>100.1177</v>
      </c>
      <c r="N174" s="18">
        <v>100.1177</v>
      </c>
      <c r="O174" s="61">
        <v>50</v>
      </c>
      <c r="P174" s="5">
        <v>8.1999999999999998E-4</v>
      </c>
      <c r="Q174" s="12">
        <v>1.1770000000000001E-3</v>
      </c>
      <c r="R174" s="82">
        <f t="shared" si="127"/>
        <v>7.1377587437544609E-3</v>
      </c>
      <c r="S174" s="82">
        <f t="shared" si="128"/>
        <v>8.22708761098607E-4</v>
      </c>
      <c r="T174" s="82">
        <f t="shared" si="129"/>
        <v>6.3829787234042548E-2</v>
      </c>
      <c r="U174" s="82">
        <f t="shared" si="130"/>
        <v>4.66E-4</v>
      </c>
      <c r="V174" s="84">
        <f t="shared" si="131"/>
        <v>1.173E-3</v>
      </c>
    </row>
    <row r="175" spans="1:24">
      <c r="A175" s="86"/>
      <c r="B175" s="19"/>
      <c r="C175" s="67" t="s">
        <v>46</v>
      </c>
      <c r="D175" s="59">
        <f>SUM(D161:D174)</f>
        <v>45908361267.540009</v>
      </c>
      <c r="E175" s="105">
        <f>(D175/$D$176)</f>
        <v>2.268426209756114E-2</v>
      </c>
      <c r="F175" s="30"/>
      <c r="G175" s="34"/>
      <c r="H175" s="69">
        <f>SUM(H161:H174)</f>
        <v>27445</v>
      </c>
      <c r="I175" s="35"/>
      <c r="J175" s="35"/>
      <c r="K175" s="59">
        <f>SUM(K161:K174)</f>
        <v>45253870390.850006</v>
      </c>
      <c r="L175" s="105">
        <f>(K175/$K$176)</f>
        <v>2.1342323146059557E-2</v>
      </c>
      <c r="M175" s="30"/>
      <c r="N175" s="34"/>
      <c r="O175" s="69">
        <f>SUM(O161:O174)</f>
        <v>27389</v>
      </c>
      <c r="P175" s="35"/>
      <c r="Q175" s="35"/>
      <c r="R175" s="82">
        <f t="shared" si="127"/>
        <v>-1.4256463498573345E-2</v>
      </c>
      <c r="S175" s="82" t="e">
        <f t="shared" si="128"/>
        <v>#DIV/0!</v>
      </c>
      <c r="T175" s="82">
        <f t="shared" si="129"/>
        <v>-2.0404445254144652E-3</v>
      </c>
      <c r="U175" s="82">
        <f t="shared" si="130"/>
        <v>0</v>
      </c>
      <c r="V175" s="84">
        <f t="shared" si="131"/>
        <v>0</v>
      </c>
    </row>
    <row r="176" spans="1:24">
      <c r="A176" s="87"/>
      <c r="B176" s="38"/>
      <c r="C176" s="68" t="s">
        <v>199</v>
      </c>
      <c r="D176" s="70">
        <f>SUM(D22,D55,D89,D116,D124,D151,D157,D175)</f>
        <v>2023797867882.8513</v>
      </c>
      <c r="E176" s="39"/>
      <c r="F176" s="39"/>
      <c r="G176" s="40"/>
      <c r="H176" s="70">
        <f>SUM(H22,H55,H89,H116,H124,H151,H157,H175)</f>
        <v>764622</v>
      </c>
      <c r="I176" s="41"/>
      <c r="J176" s="41"/>
      <c r="K176" s="70">
        <f>SUM(K22,K55,K89,K116,K124,K151,K157,K175)</f>
        <v>2120381651104.615</v>
      </c>
      <c r="L176" s="39"/>
      <c r="M176" s="39"/>
      <c r="N176" s="40"/>
      <c r="O176" s="70">
        <f>SUM(O22,O55,O89,O116,O124,O151,O157,O175)</f>
        <v>766746</v>
      </c>
      <c r="P176" s="42"/>
      <c r="Q176" s="70"/>
      <c r="R176" s="25">
        <f t="shared" si="127"/>
        <v>4.7724026571291198E-2</v>
      </c>
      <c r="S176" s="25"/>
      <c r="T176" s="25"/>
      <c r="U176" s="25"/>
      <c r="V176" s="25"/>
    </row>
    <row r="177" spans="1:22" ht="6.75" customHeight="1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9"/>
    </row>
    <row r="178" spans="1:22" ht="15.75">
      <c r="A178" s="140" t="s">
        <v>200</v>
      </c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</row>
    <row r="179" spans="1:22">
      <c r="A179" s="135">
        <v>1</v>
      </c>
      <c r="B179" s="120" t="s">
        <v>201</v>
      </c>
      <c r="C179" s="121" t="s">
        <v>202</v>
      </c>
      <c r="D179" s="2">
        <v>92548651821</v>
      </c>
      <c r="E179" s="3">
        <f>(D179/$D$181)</f>
        <v>0.97845560602463932</v>
      </c>
      <c r="F179" s="14">
        <v>108.4</v>
      </c>
      <c r="G179" s="14">
        <v>108.4</v>
      </c>
      <c r="H179" s="64">
        <v>0</v>
      </c>
      <c r="I179" s="20">
        <v>0</v>
      </c>
      <c r="J179" s="20">
        <v>0.13800000000000001</v>
      </c>
      <c r="K179" s="2">
        <v>92548651821</v>
      </c>
      <c r="L179" s="3">
        <f>(K179/$K$181)</f>
        <v>0.97764471782494933</v>
      </c>
      <c r="M179" s="14">
        <v>108.4</v>
      </c>
      <c r="N179" s="14">
        <v>108.4</v>
      </c>
      <c r="O179" s="64">
        <v>0</v>
      </c>
      <c r="P179" s="20">
        <v>0</v>
      </c>
      <c r="Q179" s="20">
        <v>0.13800000000000001</v>
      </c>
      <c r="R179" s="82">
        <f t="shared" ref="R179:R180" si="139">((K179-D179)/D179)</f>
        <v>0</v>
      </c>
      <c r="S179" s="82">
        <f t="shared" ref="S179:S180" si="140">((N179-G179)/G179)</f>
        <v>0</v>
      </c>
      <c r="T179" s="82" t="e">
        <f t="shared" ref="T179:T180" si="141">((O179-H179)/H179)</f>
        <v>#DIV/0!</v>
      </c>
      <c r="U179" s="82">
        <f t="shared" ref="U179:U180" si="142">P179-I179</f>
        <v>0</v>
      </c>
      <c r="V179" s="84">
        <f t="shared" ref="V179:V180" si="143">Q179-J179</f>
        <v>0</v>
      </c>
    </row>
    <row r="180" spans="1:22">
      <c r="A180" s="134">
        <v>2</v>
      </c>
      <c r="B180" s="120" t="s">
        <v>203</v>
      </c>
      <c r="C180" s="121" t="s">
        <v>45</v>
      </c>
      <c r="D180" s="2">
        <v>2037807954.1300001</v>
      </c>
      <c r="E180" s="3">
        <f>(D180/$D$181)</f>
        <v>2.1544393975360617E-2</v>
      </c>
      <c r="F180" s="21">
        <v>1000000</v>
      </c>
      <c r="G180" s="21">
        <v>1000000</v>
      </c>
      <c r="H180" s="64">
        <v>0</v>
      </c>
      <c r="I180" s="20">
        <v>0.16650000000000001</v>
      </c>
      <c r="J180" s="20">
        <v>0.16650000000000001</v>
      </c>
      <c r="K180" s="2">
        <v>2116260834.49</v>
      </c>
      <c r="L180" s="3">
        <f>(K180/$K$181)</f>
        <v>2.2355282175050624E-2</v>
      </c>
      <c r="M180" s="21">
        <v>1000000</v>
      </c>
      <c r="N180" s="21">
        <v>1000000</v>
      </c>
      <c r="O180" s="64">
        <v>0</v>
      </c>
      <c r="P180" s="20" t="s">
        <v>254</v>
      </c>
      <c r="Q180" s="20" t="s">
        <v>254</v>
      </c>
      <c r="R180" s="82">
        <f t="shared" si="139"/>
        <v>3.8498662349904178E-2</v>
      </c>
      <c r="S180" s="82">
        <f t="shared" si="140"/>
        <v>0</v>
      </c>
      <c r="T180" s="82" t="e">
        <f t="shared" si="141"/>
        <v>#DIV/0!</v>
      </c>
      <c r="U180" s="82" t="e">
        <f t="shared" si="142"/>
        <v>#VALUE!</v>
      </c>
      <c r="V180" s="84" t="e">
        <f t="shared" si="143"/>
        <v>#VALUE!</v>
      </c>
    </row>
    <row r="181" spans="1:22">
      <c r="A181" s="38"/>
      <c r="B181" s="38"/>
      <c r="C181" s="68" t="s">
        <v>204</v>
      </c>
      <c r="D181" s="74">
        <f>SUM(D179:D180)</f>
        <v>94586459775.130005</v>
      </c>
      <c r="E181" s="24"/>
      <c r="F181" s="22"/>
      <c r="G181" s="22"/>
      <c r="H181" s="74">
        <f>SUM(H179:H180)</f>
        <v>0</v>
      </c>
      <c r="I181" s="23"/>
      <c r="J181" s="23"/>
      <c r="K181" s="74">
        <f>SUM(K179:K180)</f>
        <v>94664912655.490005</v>
      </c>
      <c r="L181" s="24"/>
      <c r="M181" s="22"/>
      <c r="N181" s="22"/>
      <c r="O181" s="23"/>
      <c r="P181" s="23"/>
      <c r="Q181" s="74"/>
      <c r="R181" s="25">
        <f>((K181-D181)/D181)</f>
        <v>8.2943034919072574E-4</v>
      </c>
      <c r="S181" s="26"/>
      <c r="T181" s="26"/>
      <c r="U181" s="25">
        <f t="shared" ref="U181:V181" si="144">O181-H181</f>
        <v>0</v>
      </c>
      <c r="V181" s="88">
        <f t="shared" si="144"/>
        <v>0</v>
      </c>
    </row>
    <row r="182" spans="1:22" ht="8.2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</row>
    <row r="183" spans="1:22" ht="15.75">
      <c r="A183" s="140" t="s">
        <v>205</v>
      </c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</row>
    <row r="184" spans="1:22">
      <c r="A184" s="132">
        <v>1</v>
      </c>
      <c r="B184" s="120" t="s">
        <v>206</v>
      </c>
      <c r="C184" s="121" t="s">
        <v>74</v>
      </c>
      <c r="D184" s="27">
        <v>709470526.97666359</v>
      </c>
      <c r="E184" s="10">
        <f t="shared" ref="E184:E195" si="145">(D184/$D$196)</f>
        <v>7.2922461971675831E-2</v>
      </c>
      <c r="F184" s="21">
        <v>163.34074524615255</v>
      </c>
      <c r="G184" s="21">
        <v>166.31704110279728</v>
      </c>
      <c r="H184" s="63">
        <v>103</v>
      </c>
      <c r="I184" s="28">
        <v>-1.166943341602833E-4</v>
      </c>
      <c r="J184" s="28">
        <v>0.254687143941</v>
      </c>
      <c r="K184" s="27">
        <v>712207853.46963394</v>
      </c>
      <c r="L184" s="10">
        <f t="shared" ref="L184:L195" si="146">(K184/$K$196)</f>
        <v>7.2469650154879703E-2</v>
      </c>
      <c r="M184" s="21">
        <v>163.97095740062943</v>
      </c>
      <c r="N184" s="21">
        <v>166.31704110279728</v>
      </c>
      <c r="O184" s="63">
        <v>103</v>
      </c>
      <c r="P184" s="28">
        <v>6.3011669433416006E-5</v>
      </c>
      <c r="Q184" s="28">
        <v>0.25528714394099999</v>
      </c>
      <c r="R184" s="82">
        <f t="shared" ref="R184" si="147">((K184-D184)/D184)</f>
        <v>3.8582666775957355E-3</v>
      </c>
      <c r="S184" s="82">
        <f t="shared" ref="S184" si="148">((N184-G184)/G184)</f>
        <v>0</v>
      </c>
      <c r="T184" s="82">
        <f t="shared" ref="T184" si="149">((O184-H184)/H184)</f>
        <v>0</v>
      </c>
      <c r="U184" s="82">
        <f t="shared" ref="U184" si="150">P184-I184</f>
        <v>1.797060035936993E-4</v>
      </c>
      <c r="V184" s="84">
        <f t="shared" ref="V184" si="151">Q184-J184</f>
        <v>5.9999999999998943E-4</v>
      </c>
    </row>
    <row r="185" spans="1:22">
      <c r="A185" s="131">
        <v>2</v>
      </c>
      <c r="B185" s="120" t="s">
        <v>207</v>
      </c>
      <c r="C185" s="121" t="s">
        <v>186</v>
      </c>
      <c r="D185" s="27">
        <v>734532786.04999995</v>
      </c>
      <c r="E185" s="10">
        <f t="shared" si="145"/>
        <v>7.5498469803865556E-2</v>
      </c>
      <c r="F185" s="21">
        <v>20.89</v>
      </c>
      <c r="G185" s="21">
        <v>23.09</v>
      </c>
      <c r="H185" s="63">
        <v>138</v>
      </c>
      <c r="I185" s="28">
        <v>-2.9999999999999997E-4</v>
      </c>
      <c r="J185" s="28">
        <v>0.41670000000000001</v>
      </c>
      <c r="K185" s="27">
        <v>737548708.15999997</v>
      </c>
      <c r="L185" s="10">
        <f t="shared" si="146"/>
        <v>7.504817110924708E-2</v>
      </c>
      <c r="M185" s="21">
        <v>20.98</v>
      </c>
      <c r="N185" s="21">
        <v>23.19</v>
      </c>
      <c r="O185" s="63">
        <v>138</v>
      </c>
      <c r="P185" s="28">
        <v>4.1000000000000003E-3</v>
      </c>
      <c r="Q185" s="28">
        <v>0.42249999999999999</v>
      </c>
      <c r="R185" s="82">
        <f t="shared" ref="R185:R196" si="152">((K185-D185)/D185)</f>
        <v>4.1059053690691476E-3</v>
      </c>
      <c r="S185" s="82">
        <f t="shared" ref="S185:S196" si="153">((N185-G185)/G185)</f>
        <v>4.3308791684712614E-3</v>
      </c>
      <c r="T185" s="82">
        <f t="shared" ref="T185:T196" si="154">((O185-H185)/H185)</f>
        <v>0</v>
      </c>
      <c r="U185" s="82">
        <f t="shared" ref="U185:U196" si="155">P185-I185</f>
        <v>4.4000000000000003E-3</v>
      </c>
      <c r="V185" s="84">
        <f t="shared" ref="V185:V196" si="156">Q185-J185</f>
        <v>5.7999999999999718E-3</v>
      </c>
    </row>
    <row r="186" spans="1:22">
      <c r="A186" s="131">
        <v>3</v>
      </c>
      <c r="B186" s="120" t="s">
        <v>208</v>
      </c>
      <c r="C186" s="121" t="s">
        <v>36</v>
      </c>
      <c r="D186" s="27">
        <v>284260019.08999997</v>
      </c>
      <c r="E186" s="10">
        <f t="shared" si="145"/>
        <v>2.9217479294725093E-2</v>
      </c>
      <c r="F186" s="21">
        <v>21.209477</v>
      </c>
      <c r="G186" s="21">
        <v>21.536756</v>
      </c>
      <c r="H186" s="63">
        <v>65</v>
      </c>
      <c r="I186" s="28">
        <v>-1.0687100051471665E-2</v>
      </c>
      <c r="J186" s="28">
        <v>0.49803444747814107</v>
      </c>
      <c r="K186" s="27">
        <v>283008380.13</v>
      </c>
      <c r="L186" s="10">
        <f t="shared" si="146"/>
        <v>2.8797096520355572E-2</v>
      </c>
      <c r="M186" s="21">
        <v>21.116088999999999</v>
      </c>
      <c r="N186" s="21">
        <v>21.456337999999999</v>
      </c>
      <c r="O186" s="63">
        <v>65</v>
      </c>
      <c r="P186" s="28">
        <v>-4.4031480895795339E-3</v>
      </c>
      <c r="Q186" s="28">
        <v>0.49143837996260342</v>
      </c>
      <c r="R186" s="82">
        <f t="shared" si="152"/>
        <v>-4.403148089579546E-3</v>
      </c>
      <c r="S186" s="82">
        <f t="shared" si="153"/>
        <v>-3.7339885356922672E-3</v>
      </c>
      <c r="T186" s="82">
        <f t="shared" si="154"/>
        <v>0</v>
      </c>
      <c r="U186" s="82">
        <f t="shared" si="155"/>
        <v>6.2839519618921313E-3</v>
      </c>
      <c r="V186" s="84">
        <f t="shared" si="156"/>
        <v>-6.5960675155376514E-3</v>
      </c>
    </row>
    <row r="187" spans="1:22">
      <c r="A187" s="131">
        <v>4</v>
      </c>
      <c r="B187" s="120" t="s">
        <v>209</v>
      </c>
      <c r="C187" s="121" t="s">
        <v>36</v>
      </c>
      <c r="D187" s="27">
        <v>430787352.81</v>
      </c>
      <c r="E187" s="10">
        <f t="shared" si="145"/>
        <v>4.4278195018239874E-2</v>
      </c>
      <c r="F187" s="21">
        <v>32.326588999999998</v>
      </c>
      <c r="G187" s="21">
        <v>32.727229000000001</v>
      </c>
      <c r="H187" s="63">
        <v>61</v>
      </c>
      <c r="I187" s="28">
        <v>1.1052402118468363E-2</v>
      </c>
      <c r="J187" s="28">
        <v>0.85375107896262104</v>
      </c>
      <c r="K187" s="27">
        <v>437381076.25</v>
      </c>
      <c r="L187" s="10">
        <f t="shared" si="146"/>
        <v>4.4505060462035055E-2</v>
      </c>
      <c r="M187" s="21">
        <v>32.821385999999997</v>
      </c>
      <c r="N187" s="21">
        <v>33.217059999999996</v>
      </c>
      <c r="O187" s="63">
        <v>61</v>
      </c>
      <c r="P187" s="28">
        <v>1.5306214068239399E-2</v>
      </c>
      <c r="Q187" s="28">
        <v>0.88212498980645249</v>
      </c>
      <c r="R187" s="82">
        <f t="shared" si="152"/>
        <v>1.5306214068239321E-2</v>
      </c>
      <c r="S187" s="82">
        <f t="shared" si="153"/>
        <v>1.4967078331012846E-2</v>
      </c>
      <c r="T187" s="82">
        <f t="shared" si="154"/>
        <v>0</v>
      </c>
      <c r="U187" s="82">
        <f t="shared" si="155"/>
        <v>4.2538119497710358E-3</v>
      </c>
      <c r="V187" s="84">
        <f t="shared" si="156"/>
        <v>2.8373910843831451E-2</v>
      </c>
    </row>
    <row r="188" spans="1:22">
      <c r="A188" s="132">
        <v>5</v>
      </c>
      <c r="B188" s="120" t="s">
        <v>210</v>
      </c>
      <c r="C188" s="121" t="s">
        <v>211</v>
      </c>
      <c r="D188" s="27">
        <v>665134033.71000004</v>
      </c>
      <c r="E188" s="10">
        <f t="shared" si="145"/>
        <v>6.8365364641680498E-2</v>
      </c>
      <c r="F188" s="21">
        <v>15750</v>
      </c>
      <c r="G188" s="21">
        <v>18200</v>
      </c>
      <c r="H188" s="63">
        <v>223</v>
      </c>
      <c r="I188" s="28">
        <v>-0.03</v>
      </c>
      <c r="J188" s="28">
        <v>0.92</v>
      </c>
      <c r="K188" s="27">
        <v>716487682.02999997</v>
      </c>
      <c r="L188" s="10">
        <f t="shared" si="146"/>
        <v>7.2905137740395087E-2</v>
      </c>
      <c r="M188" s="21">
        <v>16720</v>
      </c>
      <c r="N188" s="21">
        <v>18220</v>
      </c>
      <c r="O188" s="63">
        <v>223</v>
      </c>
      <c r="P188" s="28">
        <v>0.08</v>
      </c>
      <c r="Q188" s="28">
        <v>1.07</v>
      </c>
      <c r="R188" s="82">
        <f t="shared" si="152"/>
        <v>7.7207969698315337E-2</v>
      </c>
      <c r="S188" s="82">
        <f t="shared" si="153"/>
        <v>1.0989010989010989E-3</v>
      </c>
      <c r="T188" s="82">
        <f t="shared" si="154"/>
        <v>0</v>
      </c>
      <c r="U188" s="82">
        <f t="shared" si="155"/>
        <v>0.11</v>
      </c>
      <c r="V188" s="84">
        <f t="shared" si="156"/>
        <v>0.15000000000000002</v>
      </c>
    </row>
    <row r="189" spans="1:22">
      <c r="A189" s="134">
        <v>6</v>
      </c>
      <c r="B189" s="120" t="s">
        <v>212</v>
      </c>
      <c r="C189" s="121" t="s">
        <v>213</v>
      </c>
      <c r="D189" s="27">
        <v>920362566.89999998</v>
      </c>
      <c r="E189" s="10">
        <f t="shared" si="145"/>
        <v>9.4598861732739459E-2</v>
      </c>
      <c r="F189" s="21">
        <v>440</v>
      </c>
      <c r="G189" s="21">
        <v>440</v>
      </c>
      <c r="H189" s="63">
        <v>46</v>
      </c>
      <c r="I189" s="28">
        <v>-4.8999999999999998E-3</v>
      </c>
      <c r="J189" s="28">
        <v>0.60929999999999995</v>
      </c>
      <c r="K189" s="27">
        <v>926454410.38</v>
      </c>
      <c r="L189" s="10">
        <f t="shared" si="146"/>
        <v>9.4269989691354278E-2</v>
      </c>
      <c r="M189" s="21">
        <v>460</v>
      </c>
      <c r="N189" s="21">
        <v>460</v>
      </c>
      <c r="O189" s="63">
        <v>46</v>
      </c>
      <c r="P189" s="28">
        <v>6.6E-3</v>
      </c>
      <c r="Q189" s="28">
        <v>0.61960000000000004</v>
      </c>
      <c r="R189" s="82">
        <f t="shared" si="152"/>
        <v>6.6189605043573173E-3</v>
      </c>
      <c r="S189" s="82">
        <f t="shared" si="153"/>
        <v>4.5454545454545456E-2</v>
      </c>
      <c r="T189" s="82">
        <f t="shared" si="154"/>
        <v>0</v>
      </c>
      <c r="U189" s="82">
        <f t="shared" si="155"/>
        <v>1.15E-2</v>
      </c>
      <c r="V189" s="84">
        <f t="shared" si="156"/>
        <v>1.0300000000000087E-2</v>
      </c>
    </row>
    <row r="190" spans="1:22">
      <c r="A190" s="134">
        <v>7</v>
      </c>
      <c r="B190" s="120" t="s">
        <v>214</v>
      </c>
      <c r="C190" s="121" t="s">
        <v>213</v>
      </c>
      <c r="D190" s="27">
        <v>617623432.90999997</v>
      </c>
      <c r="E190" s="10">
        <f t="shared" si="145"/>
        <v>6.348201875435594E-2</v>
      </c>
      <c r="F190" s="21">
        <v>697</v>
      </c>
      <c r="G190" s="21">
        <v>697</v>
      </c>
      <c r="H190" s="63">
        <v>377</v>
      </c>
      <c r="I190" s="28">
        <v>1.5E-3</v>
      </c>
      <c r="J190" s="28">
        <v>0.44529999999999997</v>
      </c>
      <c r="K190" s="27">
        <v>620634989.75</v>
      </c>
      <c r="L190" s="10">
        <f t="shared" si="146"/>
        <v>6.3151789694463847E-2</v>
      </c>
      <c r="M190" s="21">
        <v>639.99</v>
      </c>
      <c r="N190" s="21">
        <v>639.99</v>
      </c>
      <c r="O190" s="63">
        <v>377</v>
      </c>
      <c r="P190" s="28">
        <v>4.7999999999999996E-3</v>
      </c>
      <c r="Q190" s="28">
        <v>0.4521</v>
      </c>
      <c r="R190" s="82">
        <f t="shared" si="152"/>
        <v>4.8760404471876271E-3</v>
      </c>
      <c r="S190" s="82">
        <f t="shared" si="153"/>
        <v>-8.1793400286944026E-2</v>
      </c>
      <c r="T190" s="82">
        <f t="shared" si="154"/>
        <v>0</v>
      </c>
      <c r="U190" s="82">
        <f t="shared" si="155"/>
        <v>3.2999999999999995E-3</v>
      </c>
      <c r="V190" s="84">
        <f t="shared" si="156"/>
        <v>6.8000000000000282E-3</v>
      </c>
    </row>
    <row r="191" spans="1:22">
      <c r="A191" s="131">
        <v>8</v>
      </c>
      <c r="B191" s="120" t="s">
        <v>215</v>
      </c>
      <c r="C191" s="121" t="s">
        <v>216</v>
      </c>
      <c r="D191" s="27">
        <v>259054331.38999999</v>
      </c>
      <c r="E191" s="10">
        <f t="shared" si="145"/>
        <v>2.6626729245380697E-2</v>
      </c>
      <c r="F191" s="21">
        <v>11.41</v>
      </c>
      <c r="G191" s="21">
        <v>11.51</v>
      </c>
      <c r="H191" s="63">
        <v>50</v>
      </c>
      <c r="I191" s="28">
        <v>-4.3E-3</v>
      </c>
      <c r="J191" s="28">
        <v>0.95069999999999999</v>
      </c>
      <c r="K191" s="27">
        <v>257816000.25</v>
      </c>
      <c r="L191" s="10">
        <f t="shared" si="146"/>
        <v>2.6233683399342761E-2</v>
      </c>
      <c r="M191" s="21">
        <v>11.36</v>
      </c>
      <c r="N191" s="21">
        <v>11.46</v>
      </c>
      <c r="O191" s="63">
        <v>50</v>
      </c>
      <c r="P191" s="28">
        <v>-4.3E-3</v>
      </c>
      <c r="Q191" s="28">
        <v>0.95069999999999999</v>
      </c>
      <c r="R191" s="82">
        <f t="shared" si="152"/>
        <v>-4.7801985527727324E-3</v>
      </c>
      <c r="S191" s="82">
        <f t="shared" si="153"/>
        <v>-4.3440486533448249E-3</v>
      </c>
      <c r="T191" s="82">
        <f t="shared" si="154"/>
        <v>0</v>
      </c>
      <c r="U191" s="82">
        <f t="shared" si="155"/>
        <v>0</v>
      </c>
      <c r="V191" s="84">
        <f t="shared" si="156"/>
        <v>0</v>
      </c>
    </row>
    <row r="192" spans="1:22">
      <c r="A192" s="131">
        <v>9</v>
      </c>
      <c r="B192" s="120" t="s">
        <v>217</v>
      </c>
      <c r="C192" s="121" t="s">
        <v>216</v>
      </c>
      <c r="D192" s="29">
        <v>600621681.97000003</v>
      </c>
      <c r="E192" s="10">
        <f t="shared" si="145"/>
        <v>6.1734504954653269E-2</v>
      </c>
      <c r="F192" s="21">
        <v>7.37</v>
      </c>
      <c r="G192" s="21">
        <v>7.47</v>
      </c>
      <c r="H192" s="63">
        <v>79</v>
      </c>
      <c r="I192" s="28">
        <v>2.07E-2</v>
      </c>
      <c r="J192" s="28">
        <v>0.74939999999999996</v>
      </c>
      <c r="K192" s="29">
        <v>612434992.24000001</v>
      </c>
      <c r="L192" s="10">
        <f t="shared" si="146"/>
        <v>6.2317411151843749E-2</v>
      </c>
      <c r="M192" s="21">
        <v>7.52</v>
      </c>
      <c r="N192" s="21">
        <v>7.62</v>
      </c>
      <c r="O192" s="63">
        <v>79</v>
      </c>
      <c r="P192" s="28">
        <v>1.6199999999999999E-2</v>
      </c>
      <c r="Q192" s="28">
        <v>0.77780000000000005</v>
      </c>
      <c r="R192" s="82">
        <f t="shared" si="152"/>
        <v>1.9668471226768059E-2</v>
      </c>
      <c r="S192" s="82">
        <f t="shared" si="153"/>
        <v>2.0080321285140611E-2</v>
      </c>
      <c r="T192" s="82">
        <f t="shared" si="154"/>
        <v>0</v>
      </c>
      <c r="U192" s="82">
        <f t="shared" si="155"/>
        <v>-4.5000000000000005E-3</v>
      </c>
      <c r="V192" s="84">
        <f t="shared" si="156"/>
        <v>2.8400000000000092E-2</v>
      </c>
    </row>
    <row r="193" spans="1:22" ht="15" customHeight="1">
      <c r="A193" s="131">
        <v>10</v>
      </c>
      <c r="B193" s="120" t="s">
        <v>218</v>
      </c>
      <c r="C193" s="121" t="s">
        <v>216</v>
      </c>
      <c r="D193" s="27">
        <v>454412668.06</v>
      </c>
      <c r="E193" s="10">
        <f t="shared" si="145"/>
        <v>4.6706507523663579E-2</v>
      </c>
      <c r="F193" s="21">
        <v>128.08000000000001</v>
      </c>
      <c r="G193" s="21">
        <v>130.08000000000001</v>
      </c>
      <c r="H193" s="63">
        <v>50</v>
      </c>
      <c r="I193" s="28">
        <v>0</v>
      </c>
      <c r="J193" s="28">
        <v>2.4500000000000001E-2</v>
      </c>
      <c r="K193" s="27">
        <v>456629558.52999997</v>
      </c>
      <c r="L193" s="10">
        <f t="shared" si="146"/>
        <v>4.6463661129029069E-2</v>
      </c>
      <c r="M193" s="21">
        <v>128.71</v>
      </c>
      <c r="N193" s="21">
        <v>130.71</v>
      </c>
      <c r="O193" s="63">
        <v>50</v>
      </c>
      <c r="P193" s="28">
        <v>0</v>
      </c>
      <c r="Q193" s="28">
        <v>2.4500000000000001E-2</v>
      </c>
      <c r="R193" s="82">
        <f t="shared" si="152"/>
        <v>4.8785842161144458E-3</v>
      </c>
      <c r="S193" s="82">
        <f t="shared" si="153"/>
        <v>4.8431734317342821E-3</v>
      </c>
      <c r="T193" s="82">
        <f t="shared" si="154"/>
        <v>0</v>
      </c>
      <c r="U193" s="82">
        <f t="shared" si="155"/>
        <v>0</v>
      </c>
      <c r="V193" s="84">
        <f t="shared" si="156"/>
        <v>0</v>
      </c>
    </row>
    <row r="194" spans="1:22">
      <c r="A194" s="131">
        <v>11</v>
      </c>
      <c r="B194" s="120" t="s">
        <v>219</v>
      </c>
      <c r="C194" s="121" t="s">
        <v>216</v>
      </c>
      <c r="D194" s="27">
        <v>3757491961.5799999</v>
      </c>
      <c r="E194" s="10">
        <f t="shared" si="145"/>
        <v>0.3862113424849965</v>
      </c>
      <c r="F194" s="21">
        <v>26.37</v>
      </c>
      <c r="G194" s="21">
        <v>26.57</v>
      </c>
      <c r="H194" s="63">
        <v>202</v>
      </c>
      <c r="I194" s="28">
        <v>4.99E-2</v>
      </c>
      <c r="J194" s="28">
        <v>0.31519999999999998</v>
      </c>
      <c r="K194" s="27">
        <v>3774377872.2199998</v>
      </c>
      <c r="L194" s="10">
        <f t="shared" si="146"/>
        <v>0.38405620300249171</v>
      </c>
      <c r="M194" s="21">
        <v>26.49</v>
      </c>
      <c r="N194" s="21">
        <v>26.69</v>
      </c>
      <c r="O194" s="63">
        <v>207</v>
      </c>
      <c r="P194" s="28">
        <v>0.1157</v>
      </c>
      <c r="Q194" s="28">
        <v>0.46739999999999998</v>
      </c>
      <c r="R194" s="82">
        <f t="shared" si="152"/>
        <v>4.4939312745460817E-3</v>
      </c>
      <c r="S194" s="82">
        <f t="shared" si="153"/>
        <v>4.5163718479488517E-3</v>
      </c>
      <c r="T194" s="82">
        <f t="shared" si="154"/>
        <v>2.4752475247524754E-2</v>
      </c>
      <c r="U194" s="82">
        <f t="shared" si="155"/>
        <v>6.5799999999999997E-2</v>
      </c>
      <c r="V194" s="84">
        <f t="shared" si="156"/>
        <v>0.1522</v>
      </c>
    </row>
    <row r="195" spans="1:22">
      <c r="A195" s="131">
        <v>12</v>
      </c>
      <c r="B195" s="120" t="s">
        <v>220</v>
      </c>
      <c r="C195" s="121" t="s">
        <v>216</v>
      </c>
      <c r="D195" s="29">
        <v>295356896.75</v>
      </c>
      <c r="E195" s="10">
        <f t="shared" si="145"/>
        <v>3.0358064574023538E-2</v>
      </c>
      <c r="F195" s="21">
        <v>28.05</v>
      </c>
      <c r="G195" s="21">
        <v>28.25</v>
      </c>
      <c r="H195" s="63">
        <v>44</v>
      </c>
      <c r="I195" s="28">
        <v>0</v>
      </c>
      <c r="J195" s="28">
        <v>0.17510000000000001</v>
      </c>
      <c r="K195" s="29">
        <v>292689121.44</v>
      </c>
      <c r="L195" s="10">
        <f t="shared" si="146"/>
        <v>2.9782145944562046E-2</v>
      </c>
      <c r="M195" s="21">
        <v>27.71</v>
      </c>
      <c r="N195" s="21">
        <v>27.91</v>
      </c>
      <c r="O195" s="63">
        <v>45</v>
      </c>
      <c r="P195" s="28">
        <v>0</v>
      </c>
      <c r="Q195" s="28">
        <v>0.17510000000000001</v>
      </c>
      <c r="R195" s="82">
        <f t="shared" si="152"/>
        <v>-9.0323785879227233E-3</v>
      </c>
      <c r="S195" s="82">
        <f t="shared" si="153"/>
        <v>-1.2035398230088491E-2</v>
      </c>
      <c r="T195" s="82">
        <f t="shared" si="154"/>
        <v>2.2727272727272728E-2</v>
      </c>
      <c r="U195" s="82">
        <f t="shared" si="155"/>
        <v>0</v>
      </c>
      <c r="V195" s="84">
        <f t="shared" si="156"/>
        <v>0</v>
      </c>
    </row>
    <row r="196" spans="1:22">
      <c r="A196" s="43"/>
      <c r="B196" s="43"/>
      <c r="C196" s="75" t="s">
        <v>221</v>
      </c>
      <c r="D196" s="74">
        <f>SUM(D184:D195)</f>
        <v>9729108258.1966648</v>
      </c>
      <c r="E196" s="24"/>
      <c r="F196" s="24"/>
      <c r="G196" s="22"/>
      <c r="H196" s="74">
        <f>SUM(H184:H195)</f>
        <v>1438</v>
      </c>
      <c r="I196" s="23"/>
      <c r="J196" s="23"/>
      <c r="K196" s="74">
        <f>SUM(K184:K195)</f>
        <v>9827670644.8496342</v>
      </c>
      <c r="L196" s="24"/>
      <c r="M196" s="24"/>
      <c r="N196" s="22"/>
      <c r="O196" s="74">
        <f>SUM(O184:O195)</f>
        <v>1444</v>
      </c>
      <c r="P196" s="23"/>
      <c r="Q196" s="23"/>
      <c r="R196" s="82">
        <f t="shared" si="152"/>
        <v>1.0130670153652741E-2</v>
      </c>
      <c r="S196" s="82" t="e">
        <f t="shared" si="153"/>
        <v>#DIV/0!</v>
      </c>
      <c r="T196" s="82">
        <f t="shared" si="154"/>
        <v>4.172461752433936E-3</v>
      </c>
      <c r="U196" s="82">
        <f t="shared" si="155"/>
        <v>0</v>
      </c>
      <c r="V196" s="84">
        <f t="shared" si="156"/>
        <v>0</v>
      </c>
    </row>
    <row r="197" spans="1:22">
      <c r="A197" s="89"/>
      <c r="B197" s="89"/>
      <c r="C197" s="90" t="s">
        <v>222</v>
      </c>
      <c r="D197" s="91">
        <f>SUM(D176,D181,D196)</f>
        <v>2128113435916.1782</v>
      </c>
      <c r="E197" s="92"/>
      <c r="F197" s="92"/>
      <c r="G197" s="93"/>
      <c r="H197" s="91">
        <f>SUM(H176,H181,H196)</f>
        <v>766060</v>
      </c>
      <c r="I197" s="94"/>
      <c r="J197" s="94"/>
      <c r="K197" s="91">
        <f>SUM(K176,K181,K196)</f>
        <v>2224874234404.9546</v>
      </c>
      <c r="L197" s="92"/>
      <c r="M197" s="92"/>
      <c r="N197" s="93"/>
      <c r="O197" s="91">
        <f>SUM(O176,O181,O196)</f>
        <v>768190</v>
      </c>
      <c r="P197" s="95"/>
      <c r="Q197" s="91"/>
      <c r="R197" s="96"/>
      <c r="S197" s="97"/>
      <c r="T197" s="97"/>
      <c r="U197" s="98"/>
      <c r="V197" s="98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79 D79" name="Yield_2_1_2_1_1_2"/>
    <protectedRange password="CADF" sqref="O79:Q79 H79:J79" name="Yield_1_1_2_1_2_1_2"/>
    <protectedRange password="CADF" sqref="M79:N79 F79:G79" name="Fund Name_2_2_1_1_2"/>
    <protectedRange password="CADF" sqref="N77 G77" name="BidOffer Prices_2_1_1_1_1_1_1_1_1_1_2"/>
    <protectedRange password="CADF" sqref="K98:K99 D98:D99" name="Yield_2_1_2_6_3_2"/>
    <protectedRange password="CADF" sqref="K141 K149:K150 D141 D149:D150" name="Fund Name_1_1_1_2_2"/>
    <protectedRange password="CADF" sqref="O141:Q141 O149:Q150 H141:J141 H149:J150" name="Yield_1_1_2_2_2"/>
    <protectedRange password="CADF" sqref="M141:N141 M149:N150 F141:G141 F149:G150" name="Fund Name_1_1_1_1_2_2"/>
  </protectedRanges>
  <mergeCells count="31">
    <mergeCell ref="A90:V90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59:V159"/>
    <mergeCell ref="A91:V91"/>
    <mergeCell ref="A92:V92"/>
    <mergeCell ref="A105:V105"/>
    <mergeCell ref="A106:V106"/>
    <mergeCell ref="A117:V117"/>
    <mergeCell ref="A118:V118"/>
    <mergeCell ref="A125:V125"/>
    <mergeCell ref="A126:V126"/>
    <mergeCell ref="A152:V152"/>
    <mergeCell ref="A153:V153"/>
    <mergeCell ref="A158:V158"/>
    <mergeCell ref="A182:V182"/>
    <mergeCell ref="A183:V183"/>
    <mergeCell ref="A160:V160"/>
    <mergeCell ref="A163:V163"/>
    <mergeCell ref="A164:V164"/>
    <mergeCell ref="A177:U177"/>
    <mergeCell ref="A178:V17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4"/>
      <c r="B1" s="104"/>
      <c r="C1" s="104"/>
    </row>
    <row r="2" spans="1:3">
      <c r="A2" s="104"/>
      <c r="B2" s="104"/>
      <c r="C2" s="104"/>
    </row>
    <row r="3" spans="1:3">
      <c r="A3" s="104"/>
      <c r="B3" s="104"/>
      <c r="C3" s="104"/>
    </row>
    <row r="4" spans="1:3" ht="33" customHeight="1">
      <c r="A4" s="112" t="s">
        <v>223</v>
      </c>
      <c r="B4" s="113" t="s">
        <v>251</v>
      </c>
      <c r="C4" s="113" t="s">
        <v>255</v>
      </c>
    </row>
    <row r="5" spans="1:3" ht="19.5" customHeight="1">
      <c r="A5" s="114" t="s">
        <v>15</v>
      </c>
      <c r="B5" s="47">
        <f>22917888550.5649/1000000000</f>
        <v>22.9178885505649</v>
      </c>
      <c r="C5" s="47">
        <f>23002842288.0406/1000000000</f>
        <v>23.0028422880406</v>
      </c>
    </row>
    <row r="6" spans="1:3" ht="16.5">
      <c r="A6" s="115" t="s">
        <v>47</v>
      </c>
      <c r="B6" s="48">
        <f>869350685967.342/1000000000</f>
        <v>869.35068596734209</v>
      </c>
      <c r="C6" s="48">
        <f>869196903201.498/1000000000</f>
        <v>869.196903201498</v>
      </c>
    </row>
    <row r="7" spans="1:3" ht="16.5">
      <c r="A7" s="115" t="s">
        <v>224</v>
      </c>
      <c r="B7" s="47">
        <f>292383213255.361/1000000000</f>
        <v>292.383213255361</v>
      </c>
      <c r="C7" s="47">
        <f>291948133511.515/1000000000</f>
        <v>291.94813351151504</v>
      </c>
    </row>
    <row r="8" spans="1:3" ht="16.5">
      <c r="A8" s="115" t="s">
        <v>129</v>
      </c>
      <c r="B8" s="48">
        <f>652996623374.599/1000000000</f>
        <v>652.99662337459904</v>
      </c>
      <c r="C8" s="48">
        <f>749487239675.219/1000000000</f>
        <v>749.48723967521903</v>
      </c>
    </row>
    <row r="9" spans="1:3" ht="16.5">
      <c r="A9" s="115" t="s">
        <v>225</v>
      </c>
      <c r="B9" s="47">
        <f>95820553466.4032/1000000000</f>
        <v>95.820553466403197</v>
      </c>
      <c r="C9" s="47">
        <f>96469811252.5869/1000000000</f>
        <v>96.469811252586894</v>
      </c>
    </row>
    <row r="10" spans="1:3" ht="16.5">
      <c r="A10" s="115" t="s">
        <v>155</v>
      </c>
      <c r="B10" s="49">
        <f>40186047185.1911/1000000000</f>
        <v>40.1860471851911</v>
      </c>
      <c r="C10" s="49">
        <f>40757011293.125/1000000000</f>
        <v>40.757011293124997</v>
      </c>
    </row>
    <row r="11" spans="1:3" ht="16.5">
      <c r="A11" s="115" t="s">
        <v>179</v>
      </c>
      <c r="B11" s="47">
        <f>4234494815.85/1000000000</f>
        <v>4.2344948158499998</v>
      </c>
      <c r="C11" s="47">
        <f>4265839491.78/1000000000</f>
        <v>4.2658394917800004</v>
      </c>
    </row>
    <row r="12" spans="1:3" ht="16.5">
      <c r="A12" s="115" t="s">
        <v>226</v>
      </c>
      <c r="B12" s="47">
        <f>45908361267.54/1000000000</f>
        <v>45.908361267540002</v>
      </c>
      <c r="C12" s="47">
        <f>45253870390.85/1000000000</f>
        <v>45.253870390849997</v>
      </c>
    </row>
    <row r="13" spans="1:3">
      <c r="A13" s="104"/>
      <c r="B13" s="104"/>
      <c r="C13" s="104"/>
    </row>
    <row r="16" spans="1:3" ht="16.5">
      <c r="B16" s="153"/>
      <c r="C16" s="122"/>
    </row>
    <row r="17" spans="1:3" ht="16.5">
      <c r="B17" s="122"/>
      <c r="C17" s="154"/>
    </row>
    <row r="18" spans="1:3" ht="16.5">
      <c r="A18" s="101"/>
      <c r="B18" s="154"/>
      <c r="C18" s="122"/>
    </row>
    <row r="19" spans="1:3" ht="16.5">
      <c r="A19" s="102"/>
      <c r="B19" s="122"/>
      <c r="C19" s="154"/>
    </row>
    <row r="20" spans="1:3" ht="16.5">
      <c r="A20" s="102"/>
      <c r="B20" s="154"/>
      <c r="C20" s="122"/>
    </row>
    <row r="21" spans="1:3" ht="16.5">
      <c r="A21" s="102"/>
      <c r="B21" s="122"/>
      <c r="C21" s="155"/>
    </row>
    <row r="22" spans="1:3" ht="16.5">
      <c r="A22" s="102"/>
      <c r="B22" s="155"/>
      <c r="C22" s="122"/>
    </row>
    <row r="23" spans="1:3" ht="16.5">
      <c r="A23" s="102"/>
      <c r="B23" s="122"/>
      <c r="C23" s="122"/>
    </row>
    <row r="24" spans="1:3" ht="16.5">
      <c r="A24" s="102"/>
      <c r="B24" s="122"/>
      <c r="C24" s="122"/>
    </row>
    <row r="25" spans="1:3" ht="16.5">
      <c r="A25" s="102"/>
      <c r="B25" s="111"/>
      <c r="C25" s="111"/>
    </row>
    <row r="26" spans="1:3" ht="16.5">
      <c r="A26" s="102"/>
      <c r="B26" s="111"/>
      <c r="C26" s="111"/>
    </row>
    <row r="27" spans="1:3">
      <c r="B27" s="106"/>
      <c r="C27" s="106"/>
    </row>
    <row r="28" spans="1:3">
      <c r="B28" s="106"/>
      <c r="C28" s="106"/>
    </row>
  </sheetData>
  <sheetProtection algorithmName="SHA-512" hashValue="p2Am7SJI/q2Uqie6fqWzr8AKgx6yowSz4VpNdY8n4DFkrDNgjF5ivoIZp2xM8FhC2vt5djQ4siH0HequvttVtg==" saltValue="6NaEB0TiXbRW1dn3FSicT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2" t="s">
        <v>223</v>
      </c>
      <c r="B1" s="116">
        <v>45261</v>
      </c>
    </row>
    <row r="2" spans="1:2" ht="16.5">
      <c r="A2" s="115" t="s">
        <v>179</v>
      </c>
      <c r="B2" s="47">
        <v>4265839491.7800002</v>
      </c>
    </row>
    <row r="3" spans="1:2" ht="16.5">
      <c r="A3" s="115" t="s">
        <v>15</v>
      </c>
      <c r="B3" s="47">
        <v>23002842288.0406</v>
      </c>
    </row>
    <row r="4" spans="1:2" ht="16.5">
      <c r="A4" s="115" t="s">
        <v>155</v>
      </c>
      <c r="B4" s="49">
        <v>40757011293.125015</v>
      </c>
    </row>
    <row r="5" spans="1:2" ht="16.5">
      <c r="A5" s="115" t="s">
        <v>226</v>
      </c>
      <c r="B5" s="47">
        <v>45253870390.850006</v>
      </c>
    </row>
    <row r="6" spans="1:2" ht="16.5">
      <c r="A6" s="115" t="s">
        <v>225</v>
      </c>
      <c r="B6" s="47">
        <v>96469811252.586914</v>
      </c>
    </row>
    <row r="7" spans="1:2" ht="16.5">
      <c r="A7" s="115" t="s">
        <v>224</v>
      </c>
      <c r="B7" s="47">
        <v>291948133511.51477</v>
      </c>
    </row>
    <row r="8" spans="1:2" ht="16.5">
      <c r="A8" s="115" t="s">
        <v>129</v>
      </c>
      <c r="B8" s="48">
        <v>749487239675.21936</v>
      </c>
    </row>
    <row r="9" spans="1:2" ht="16.5">
      <c r="A9" s="115" t="s">
        <v>47</v>
      </c>
      <c r="B9" s="48">
        <v>869196903201.49829</v>
      </c>
    </row>
    <row r="14" spans="1:2" ht="16.5">
      <c r="A14" s="103"/>
      <c r="B14" s="122"/>
    </row>
    <row r="15" spans="1:2" ht="16.5">
      <c r="A15" s="103"/>
      <c r="B15" s="122"/>
    </row>
    <row r="16" spans="1:2" ht="16.5">
      <c r="A16" s="103"/>
      <c r="B16" s="155"/>
    </row>
    <row r="17" spans="1:17" ht="16.5">
      <c r="A17" s="103"/>
      <c r="B17" s="122"/>
    </row>
    <row r="18" spans="1:17" ht="16.5">
      <c r="A18" s="103"/>
      <c r="B18" s="122"/>
    </row>
    <row r="19" spans="1:17" ht="16.5">
      <c r="A19" s="103"/>
      <c r="B19" s="122"/>
    </row>
    <row r="20" spans="1:17" ht="16.5">
      <c r="A20" s="103"/>
      <c r="B20" s="154"/>
    </row>
    <row r="21" spans="1:17" ht="16.5">
      <c r="A21" s="103"/>
      <c r="B21" s="154"/>
    </row>
    <row r="22" spans="1:17" ht="16.5">
      <c r="A22" s="99"/>
      <c r="B22" s="154"/>
    </row>
    <row r="32" spans="1:17" ht="16.5" customHeight="1">
      <c r="A32" s="152" t="s">
        <v>256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24"/>
    </row>
    <row r="33" spans="1:17" ht="1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24"/>
    </row>
  </sheetData>
  <sheetProtection algorithmName="SHA-512" hashValue="RiD4gVJxGbfrjNs1TZxzjeLwrEAsPCgRzkvLdLptg3hzjE1qv4VRUKl0w+yU7hc3fx73cixuWnqvO86KbghGQQ==" saltValue="JDExlHPnq+LTDa5ecc3gjQ==" spinCount="100000" sheet="1" objects="1" scenarios="1"/>
  <sortState ref="B14:B21">
    <sortCondition ref="B14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N6" sqref="N6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17" t="s">
        <v>234</v>
      </c>
      <c r="B2" s="118">
        <v>45212</v>
      </c>
      <c r="C2" s="118">
        <v>45219</v>
      </c>
      <c r="D2" s="118">
        <v>45226</v>
      </c>
      <c r="E2" s="118">
        <v>45233</v>
      </c>
      <c r="F2" s="118">
        <v>45240</v>
      </c>
      <c r="G2" s="118">
        <v>45247</v>
      </c>
      <c r="H2" s="118">
        <v>45254</v>
      </c>
      <c r="I2" s="118">
        <v>45261</v>
      </c>
      <c r="J2" s="106"/>
      <c r="K2" s="106"/>
    </row>
    <row r="3" spans="1:11">
      <c r="A3" s="117" t="s">
        <v>235</v>
      </c>
      <c r="B3" s="119">
        <v>1961229345082.9329</v>
      </c>
      <c r="C3" s="119">
        <v>2002190167303.2449</v>
      </c>
      <c r="D3" s="119">
        <v>1992052361749.9485</v>
      </c>
      <c r="E3" s="119">
        <v>1995029350611.7961</v>
      </c>
      <c r="F3" s="119">
        <v>2004454649356.7783</v>
      </c>
      <c r="G3" s="119">
        <v>2019879952817.2942</v>
      </c>
      <c r="H3" s="119">
        <v>2023797867882.8513</v>
      </c>
      <c r="I3" s="119">
        <v>2120381651104.615</v>
      </c>
      <c r="J3" s="106"/>
      <c r="K3" s="106"/>
    </row>
    <row r="4" spans="1:11">
      <c r="A4" s="99"/>
      <c r="B4" s="99"/>
      <c r="C4" s="99"/>
      <c r="D4" s="99"/>
      <c r="E4" s="99"/>
      <c r="F4" s="99"/>
      <c r="G4" s="99"/>
      <c r="H4" s="99"/>
      <c r="I4" s="99"/>
    </row>
    <row r="5" spans="1:11">
      <c r="A5" s="99"/>
      <c r="B5" s="99"/>
      <c r="C5" s="99"/>
      <c r="D5" s="99"/>
      <c r="E5" s="99"/>
      <c r="F5" s="99"/>
      <c r="G5" s="99"/>
      <c r="H5" s="99"/>
      <c r="I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spans="1:9">
      <c r="A18" s="99"/>
      <c r="B18" s="99"/>
      <c r="C18" s="99"/>
      <c r="D18" s="99"/>
      <c r="E18" s="99"/>
      <c r="F18" s="99"/>
      <c r="G18" s="99"/>
      <c r="H18" s="99"/>
      <c r="I18" s="99"/>
    </row>
    <row r="19" spans="1:9">
      <c r="A19" s="99"/>
      <c r="B19" s="99"/>
      <c r="C19" s="99"/>
      <c r="D19" s="99"/>
      <c r="E19" s="99"/>
      <c r="F19" s="99"/>
      <c r="G19" s="99"/>
      <c r="H19" s="99"/>
      <c r="I19" s="99"/>
    </row>
    <row r="20" spans="1:9">
      <c r="A20" s="99"/>
      <c r="B20" s="99"/>
      <c r="C20" s="99"/>
      <c r="D20" s="99"/>
      <c r="E20" s="99"/>
      <c r="F20" s="99"/>
      <c r="G20" s="99"/>
      <c r="H20" s="99"/>
      <c r="I20" s="99"/>
    </row>
    <row r="21" spans="1:9">
      <c r="A21" s="99"/>
      <c r="B21" s="99"/>
      <c r="C21" s="99"/>
      <c r="D21" s="99"/>
      <c r="E21" s="99"/>
      <c r="F21" s="99"/>
      <c r="G21" s="99"/>
      <c r="H21" s="99"/>
      <c r="I21" s="99"/>
    </row>
    <row r="22" spans="1:9">
      <c r="A22" s="99"/>
      <c r="B22" s="99"/>
      <c r="C22" s="99"/>
      <c r="D22" s="99"/>
      <c r="E22" s="99"/>
      <c r="F22" s="99"/>
      <c r="G22" s="99"/>
      <c r="H22" s="99"/>
      <c r="I22" s="99"/>
    </row>
    <row r="23" spans="1:9">
      <c r="A23" s="99"/>
      <c r="B23" s="99"/>
      <c r="C23" s="99"/>
      <c r="D23" s="99"/>
      <c r="E23" s="99"/>
      <c r="F23" s="99"/>
      <c r="G23" s="99"/>
      <c r="H23" s="99"/>
      <c r="I23" s="99"/>
    </row>
    <row r="24" spans="1:9">
      <c r="A24" s="99"/>
      <c r="B24" s="99"/>
      <c r="C24" s="99"/>
      <c r="D24" s="99"/>
      <c r="E24" s="99"/>
      <c r="F24" s="99"/>
      <c r="G24" s="99"/>
      <c r="H24" s="99"/>
      <c r="I24" s="99"/>
    </row>
    <row r="25" spans="1:9">
      <c r="A25" s="99"/>
      <c r="B25" s="99"/>
      <c r="C25" s="99"/>
      <c r="D25" s="99"/>
      <c r="E25" s="99"/>
      <c r="F25" s="99"/>
      <c r="G25" s="99"/>
      <c r="H25" s="99"/>
      <c r="I25" s="99"/>
    </row>
    <row r="26" spans="1:9">
      <c r="A26" s="99"/>
      <c r="B26" s="99"/>
      <c r="C26" s="99"/>
      <c r="D26" s="99"/>
      <c r="E26" s="99"/>
      <c r="F26" s="99"/>
      <c r="G26" s="99"/>
      <c r="H26" s="99"/>
      <c r="I26" s="99"/>
    </row>
    <row r="27" spans="1:9">
      <c r="A27" s="99"/>
      <c r="B27" s="99"/>
      <c r="C27" s="99"/>
      <c r="D27" s="99"/>
      <c r="E27" s="99"/>
      <c r="F27" s="99"/>
      <c r="G27" s="99"/>
      <c r="H27" s="99"/>
      <c r="I27" s="99"/>
    </row>
    <row r="28" spans="1:9">
      <c r="A28" s="99"/>
      <c r="B28" s="99"/>
      <c r="C28" s="99"/>
      <c r="D28" s="99"/>
      <c r="E28" s="99"/>
      <c r="F28" s="99"/>
      <c r="G28" s="99"/>
      <c r="H28" s="99"/>
      <c r="I28" s="99"/>
    </row>
    <row r="29" spans="1:9">
      <c r="A29" s="99"/>
      <c r="B29" s="99"/>
      <c r="C29" s="99"/>
      <c r="D29" s="99"/>
      <c r="E29" s="99"/>
      <c r="F29" s="99"/>
      <c r="G29" s="99"/>
      <c r="H29" s="99"/>
      <c r="I29" s="99"/>
    </row>
  </sheetData>
  <sheetProtection algorithmName="SHA-512" hashValue="+FQYTLvrUfi8nMtUorZMA80tqub0+KNFhzxi8R8HwbxOyuit97B1q5B7XcQvHmk/n5SbLyy0AWqufoDoWhf3FQ==" saltValue="pP362GaYmWuVME39lkNqr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2" ht="16.5">
      <c r="A1" s="44" t="s">
        <v>223</v>
      </c>
      <c r="B1" s="45">
        <v>45205</v>
      </c>
      <c r="C1" s="45">
        <v>45212</v>
      </c>
      <c r="D1" s="45">
        <v>45219</v>
      </c>
      <c r="E1" s="45">
        <v>45226</v>
      </c>
      <c r="F1" s="45">
        <v>45233</v>
      </c>
      <c r="G1" s="45">
        <v>45240</v>
      </c>
      <c r="H1" s="45">
        <v>45247</v>
      </c>
      <c r="I1" s="45">
        <v>45254</v>
      </c>
      <c r="J1" s="45">
        <v>45261</v>
      </c>
    </row>
    <row r="2" spans="1:12" ht="16.5">
      <c r="A2" s="46" t="s">
        <v>15</v>
      </c>
      <c r="B2" s="47">
        <v>22419529839.446701</v>
      </c>
      <c r="C2" s="47">
        <v>22452818441.667297</v>
      </c>
      <c r="D2" s="47">
        <v>22321023691.510902</v>
      </c>
      <c r="E2" s="47">
        <v>22297088298.263195</v>
      </c>
      <c r="F2" s="47">
        <v>22627915820.731602</v>
      </c>
      <c r="G2" s="47">
        <v>22794496005.583801</v>
      </c>
      <c r="H2" s="47">
        <v>22858868495.366501</v>
      </c>
      <c r="I2" s="47">
        <v>22917888550.564899</v>
      </c>
      <c r="J2" s="47">
        <v>23002842288.0406</v>
      </c>
    </row>
    <row r="3" spans="1:12" ht="16.5">
      <c r="A3" s="46" t="s">
        <v>47</v>
      </c>
      <c r="B3" s="48">
        <v>857851239009.95007</v>
      </c>
      <c r="C3" s="48">
        <v>866430357744.91357</v>
      </c>
      <c r="D3" s="48">
        <v>868733209665.15002</v>
      </c>
      <c r="E3" s="48">
        <v>866720174597.19238</v>
      </c>
      <c r="F3" s="48">
        <v>868763948236.72998</v>
      </c>
      <c r="G3" s="48">
        <v>861362592384.79565</v>
      </c>
      <c r="H3" s="48">
        <v>865822924113.04614</v>
      </c>
      <c r="I3" s="48">
        <v>869350685967.34192</v>
      </c>
      <c r="J3" s="48">
        <v>869196903201.49829</v>
      </c>
    </row>
    <row r="4" spans="1:12" ht="16.5">
      <c r="A4" s="46" t="s">
        <v>224</v>
      </c>
      <c r="B4" s="47">
        <v>298612163023.86542</v>
      </c>
      <c r="C4" s="47">
        <v>296194339533.25995</v>
      </c>
      <c r="D4" s="47">
        <v>297314764640.83484</v>
      </c>
      <c r="E4" s="47">
        <v>296829521368.71655</v>
      </c>
      <c r="F4" s="47">
        <v>296477977964.1463</v>
      </c>
      <c r="G4" s="47">
        <v>299518508797.995</v>
      </c>
      <c r="H4" s="47">
        <v>298317775753.20929</v>
      </c>
      <c r="I4" s="47">
        <v>292383213255.36121</v>
      </c>
      <c r="J4" s="47">
        <v>291948133511.51477</v>
      </c>
    </row>
    <row r="5" spans="1:12" ht="16.5">
      <c r="A5" s="46" t="s">
        <v>129</v>
      </c>
      <c r="B5" s="48">
        <v>574272210688.57068</v>
      </c>
      <c r="C5" s="48">
        <v>594856395707.72656</v>
      </c>
      <c r="D5" s="48">
        <v>631778541802.7771</v>
      </c>
      <c r="E5" s="48">
        <v>623939339182.42139</v>
      </c>
      <c r="F5" s="48">
        <v>624424131579.08496</v>
      </c>
      <c r="G5" s="48">
        <v>638339381199.3125</v>
      </c>
      <c r="H5" s="48">
        <v>647350483168.5968</v>
      </c>
      <c r="I5" s="48">
        <v>652996623374.59875</v>
      </c>
      <c r="J5" s="48">
        <v>749487239675.21936</v>
      </c>
    </row>
    <row r="6" spans="1:12" ht="16.5">
      <c r="A6" s="46" t="s">
        <v>225</v>
      </c>
      <c r="B6" s="47">
        <v>93025791056.550003</v>
      </c>
      <c r="C6" s="47">
        <v>93063670940.059998</v>
      </c>
      <c r="D6" s="47">
        <v>93071505879.830002</v>
      </c>
      <c r="E6" s="47">
        <v>93122068013.900009</v>
      </c>
      <c r="F6" s="47">
        <v>93195143675.199997</v>
      </c>
      <c r="G6" s="47">
        <v>93197010128.300003</v>
      </c>
      <c r="H6" s="47">
        <v>95531336334.98999</v>
      </c>
      <c r="I6" s="47">
        <v>95820553466.403229</v>
      </c>
      <c r="J6" s="47">
        <v>96469811252.586914</v>
      </c>
    </row>
    <row r="7" spans="1:12" ht="16.5">
      <c r="A7" s="46" t="s">
        <v>155</v>
      </c>
      <c r="B7" s="49">
        <v>39656232639.742752</v>
      </c>
      <c r="C7" s="49">
        <v>39055524237.135551</v>
      </c>
      <c r="D7" s="49">
        <v>39125729977.492111</v>
      </c>
      <c r="E7" s="49">
        <v>39115203974.124908</v>
      </c>
      <c r="F7" s="49">
        <v>39279784642.423355</v>
      </c>
      <c r="G7" s="49">
        <v>39710985001.751167</v>
      </c>
      <c r="H7" s="49">
        <v>39960778727.195503</v>
      </c>
      <c r="I7" s="49">
        <v>40186047185.191147</v>
      </c>
      <c r="J7" s="49">
        <v>40757011293.125015</v>
      </c>
    </row>
    <row r="8" spans="1:12" ht="16.5">
      <c r="A8" s="46" t="s">
        <v>179</v>
      </c>
      <c r="B8" s="47">
        <v>3871834604.0900002</v>
      </c>
      <c r="C8" s="47">
        <v>3847653774.98</v>
      </c>
      <c r="D8" s="47">
        <v>3851756766.6799998</v>
      </c>
      <c r="E8" s="47">
        <v>3850205746.29</v>
      </c>
      <c r="F8" s="47">
        <v>3928183119.75</v>
      </c>
      <c r="G8" s="47">
        <v>3954911247.46</v>
      </c>
      <c r="H8" s="47">
        <v>3972600047.8899999</v>
      </c>
      <c r="I8" s="47">
        <v>4234494815.8499999</v>
      </c>
      <c r="J8" s="47">
        <v>4265839491.7800002</v>
      </c>
    </row>
    <row r="9" spans="1:12" ht="16.5">
      <c r="A9" s="46" t="s">
        <v>226</v>
      </c>
      <c r="B9" s="47">
        <v>45358758187.989998</v>
      </c>
      <c r="C9" s="47">
        <v>45328584703.190002</v>
      </c>
      <c r="D9" s="47">
        <v>45993634878.969994</v>
      </c>
      <c r="E9" s="47">
        <v>46178760569.040001</v>
      </c>
      <c r="F9" s="47">
        <v>46332265573.729996</v>
      </c>
      <c r="G9" s="47">
        <v>45576764591.580002</v>
      </c>
      <c r="H9" s="47">
        <v>46065186177</v>
      </c>
      <c r="I9" s="47">
        <v>45908361267.540009</v>
      </c>
      <c r="J9" s="47">
        <v>45253870390.850006</v>
      </c>
    </row>
    <row r="10" spans="1:12" ht="15.75">
      <c r="A10" s="50" t="s">
        <v>227</v>
      </c>
      <c r="B10" s="51">
        <f t="shared" ref="B10:G10" si="0">SUM(B2:B9)</f>
        <v>1935067759050.2058</v>
      </c>
      <c r="C10" s="51">
        <f t="shared" si="0"/>
        <v>1961229345082.9329</v>
      </c>
      <c r="D10" s="51">
        <f t="shared" si="0"/>
        <v>2002190167303.2449</v>
      </c>
      <c r="E10" s="51">
        <f t="shared" si="0"/>
        <v>1992052361749.9485</v>
      </c>
      <c r="F10" s="51">
        <f t="shared" si="0"/>
        <v>1995029350611.7961</v>
      </c>
      <c r="G10" s="51">
        <f t="shared" si="0"/>
        <v>2004454649356.7783</v>
      </c>
      <c r="H10" s="51">
        <f>SUM(H2:H9)</f>
        <v>2019879952817.2942</v>
      </c>
      <c r="I10" s="51">
        <f>SUM(I2:I9)</f>
        <v>2023797867882.8513</v>
      </c>
      <c r="J10" s="51">
        <f>SUM(J2:J9)</f>
        <v>2120381651104.615</v>
      </c>
    </row>
    <row r="11" spans="1:12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2" ht="15.75">
      <c r="A12" s="54" t="s">
        <v>228</v>
      </c>
      <c r="B12" s="55" t="s">
        <v>229</v>
      </c>
      <c r="C12" s="56">
        <f>(B10+C10)/2</f>
        <v>1948148552066.5693</v>
      </c>
      <c r="D12" s="57">
        <f t="shared" ref="D12:J12" si="1">(C10+D10)/2</f>
        <v>1981709756193.0889</v>
      </c>
      <c r="E12" s="57">
        <f t="shared" si="1"/>
        <v>1997121264526.5967</v>
      </c>
      <c r="F12" s="57">
        <f t="shared" si="1"/>
        <v>1993540856180.8723</v>
      </c>
      <c r="G12" s="57">
        <f>(F10+G10)/2</f>
        <v>1999741999984.2871</v>
      </c>
      <c r="H12" s="57">
        <f t="shared" si="1"/>
        <v>2012167301087.0361</v>
      </c>
      <c r="I12" s="57">
        <f t="shared" si="1"/>
        <v>2021838910350.0728</v>
      </c>
      <c r="J12" s="57">
        <f t="shared" si="1"/>
        <v>2072089759493.7332</v>
      </c>
    </row>
    <row r="15" spans="1:12" ht="16.5">
      <c r="A15" s="44" t="s">
        <v>223</v>
      </c>
      <c r="B15" s="45">
        <v>45254</v>
      </c>
      <c r="C15" s="45">
        <v>45261</v>
      </c>
    </row>
    <row r="16" spans="1:12" ht="16.5">
      <c r="A16" s="46" t="s">
        <v>15</v>
      </c>
      <c r="B16" s="47">
        <v>22917888550.564899</v>
      </c>
      <c r="C16" s="47">
        <v>23002842288.0406</v>
      </c>
      <c r="E16" s="119"/>
      <c r="F16" s="119"/>
      <c r="G16" s="119"/>
      <c r="H16" s="119"/>
      <c r="I16" s="119"/>
      <c r="J16" s="119"/>
      <c r="K16" s="119"/>
      <c r="L16" s="119"/>
    </row>
    <row r="17" spans="1:12" ht="16.5">
      <c r="A17" s="46" t="s">
        <v>47</v>
      </c>
      <c r="B17" s="48">
        <v>869350685967.34192</v>
      </c>
      <c r="C17" s="48">
        <v>869196903201.49829</v>
      </c>
    </row>
    <row r="18" spans="1:12" ht="16.5">
      <c r="A18" s="46" t="s">
        <v>224</v>
      </c>
      <c r="B18" s="47">
        <v>292383213255.36121</v>
      </c>
      <c r="C18" s="47">
        <v>291948133511.51477</v>
      </c>
    </row>
    <row r="19" spans="1:12" ht="16.5">
      <c r="A19" s="46" t="s">
        <v>129</v>
      </c>
      <c r="B19" s="48">
        <v>652996623374.59875</v>
      </c>
      <c r="C19" s="48">
        <v>749487239675.21936</v>
      </c>
    </row>
    <row r="20" spans="1:12" ht="16.5">
      <c r="A20" s="46" t="s">
        <v>225</v>
      </c>
      <c r="B20" s="47">
        <v>95820553466.403229</v>
      </c>
      <c r="C20" s="47">
        <v>96469811252.586914</v>
      </c>
      <c r="E20" s="119"/>
      <c r="F20" s="119"/>
      <c r="G20" s="119"/>
      <c r="H20" s="119"/>
      <c r="I20" s="119"/>
      <c r="J20" s="119"/>
      <c r="K20" s="119"/>
      <c r="L20" s="119"/>
    </row>
    <row r="21" spans="1:12" ht="16.5">
      <c r="A21" s="46" t="s">
        <v>155</v>
      </c>
      <c r="B21" s="49">
        <v>40186047185.191147</v>
      </c>
      <c r="C21" s="49">
        <v>40757011293.125015</v>
      </c>
    </row>
    <row r="22" spans="1:12" ht="16.5">
      <c r="A22" s="46" t="s">
        <v>179</v>
      </c>
      <c r="B22" s="47">
        <v>4234494815.8499999</v>
      </c>
      <c r="C22" s="47">
        <v>4265839491.7800002</v>
      </c>
    </row>
    <row r="23" spans="1:12" ht="16.5">
      <c r="A23" s="46" t="s">
        <v>226</v>
      </c>
      <c r="B23" s="47">
        <v>45908361267.540009</v>
      </c>
      <c r="C23" s="47">
        <v>45253870390.850006</v>
      </c>
    </row>
    <row r="26" spans="1:12">
      <c r="C26" s="119"/>
      <c r="D26" s="119"/>
      <c r="E26" s="119"/>
      <c r="F26" s="119"/>
      <c r="G26" s="119"/>
      <c r="H26" s="119"/>
      <c r="I26" s="119"/>
      <c r="J26" s="119"/>
    </row>
    <row r="28" spans="1:12">
      <c r="C28" s="71"/>
      <c r="D28" s="71"/>
      <c r="E28" s="71"/>
      <c r="F28" s="71"/>
      <c r="G28" s="71"/>
      <c r="H28" s="71"/>
      <c r="I28" s="71"/>
      <c r="J28" s="71"/>
    </row>
  </sheetData>
  <sheetProtection algorithmName="SHA-512" hashValue="yTltbDD8C7+W4cGoiB3iY6+QJ7tblrK3Sm4O9iZ/Ze3y/8mYM+qnBsbiA+Qc3LhFmtyswd+qBHoUnFiN4ZaZug==" saltValue="64gkSUQwcgo8qlvmLQq2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2023-12-07T09:55:39Z</dcterms:modified>
</cp:coreProperties>
</file>