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12" i="2" l="1"/>
  <c r="C11" i="2"/>
  <c r="C10" i="2"/>
  <c r="C9" i="2"/>
  <c r="C8" i="2"/>
  <c r="C7" i="2"/>
  <c r="C5" i="2"/>
  <c r="B12" i="2"/>
  <c r="B11" i="2"/>
  <c r="B10" i="2"/>
  <c r="B9" i="2"/>
  <c r="B8" i="2"/>
  <c r="B7" i="2"/>
  <c r="B6" i="2"/>
  <c r="B5" i="2"/>
  <c r="I10" i="4" l="1"/>
  <c r="H10" i="4"/>
  <c r="G10" i="4"/>
  <c r="F10" i="4"/>
  <c r="E10" i="4"/>
  <c r="D10" i="4"/>
  <c r="C10" i="4"/>
  <c r="B10" i="4"/>
  <c r="N108" i="1" l="1"/>
  <c r="M108" i="1"/>
  <c r="K108" i="1"/>
  <c r="N96" i="1"/>
  <c r="M96" i="1"/>
  <c r="K96" i="1"/>
  <c r="N103" i="1" l="1"/>
  <c r="M103" i="1"/>
  <c r="K103" i="1"/>
  <c r="N115" i="1" l="1"/>
  <c r="M115" i="1"/>
  <c r="N95" i="1"/>
  <c r="M95" i="1"/>
  <c r="K95" i="1"/>
  <c r="N101" i="1" l="1"/>
  <c r="M101" i="1"/>
  <c r="K101" i="1"/>
  <c r="V169" i="1" l="1"/>
  <c r="U169" i="1"/>
  <c r="T169" i="1"/>
  <c r="S169" i="1"/>
  <c r="R169" i="1"/>
  <c r="E169" i="1"/>
  <c r="N102" i="1" l="1"/>
  <c r="M102" i="1"/>
  <c r="K102" i="1"/>
  <c r="N94" i="1" l="1"/>
  <c r="M94" i="1"/>
  <c r="K94" i="1"/>
  <c r="N112" i="1"/>
  <c r="M112" i="1"/>
  <c r="N111" i="1"/>
  <c r="M111" i="1"/>
  <c r="N100" i="1"/>
  <c r="M100" i="1"/>
  <c r="K100" i="1"/>
  <c r="G115" i="1"/>
  <c r="F115" i="1"/>
  <c r="G112" i="1"/>
  <c r="F112" i="1"/>
  <c r="G111" i="1"/>
  <c r="F111" i="1"/>
  <c r="G108" i="1"/>
  <c r="F108" i="1"/>
  <c r="D108" i="1"/>
  <c r="G103" i="1"/>
  <c r="F103" i="1"/>
  <c r="G102" i="1"/>
  <c r="F102" i="1"/>
  <c r="G101" i="1"/>
  <c r="F101" i="1"/>
  <c r="G100" i="1"/>
  <c r="F100" i="1"/>
  <c r="G96" i="1"/>
  <c r="F96" i="1"/>
  <c r="G95" i="1"/>
  <c r="F95" i="1"/>
  <c r="G94" i="1"/>
  <c r="F94" i="1"/>
  <c r="G93" i="1"/>
  <c r="F93" i="1"/>
  <c r="D103" i="1"/>
  <c r="D102" i="1"/>
  <c r="D101" i="1"/>
  <c r="D100" i="1"/>
  <c r="D96" i="1"/>
  <c r="D95" i="1"/>
  <c r="D94" i="1"/>
  <c r="T32" i="1" l="1"/>
  <c r="S21" i="1" l="1"/>
  <c r="T21" i="1"/>
  <c r="V95" i="1" l="1"/>
  <c r="R95" i="1"/>
  <c r="S95" i="1"/>
  <c r="T95" i="1"/>
  <c r="U95" i="1"/>
  <c r="R12" i="1" l="1"/>
  <c r="R48" i="1" l="1"/>
  <c r="V48" i="1"/>
  <c r="U48" i="1"/>
  <c r="T48" i="1"/>
  <c r="S48" i="1"/>
  <c r="V96" i="1" l="1"/>
  <c r="U96" i="1"/>
  <c r="T96" i="1"/>
  <c r="S96" i="1"/>
  <c r="R96" i="1"/>
  <c r="V120" i="1" l="1"/>
  <c r="U120" i="1"/>
  <c r="T120" i="1"/>
  <c r="S120" i="1"/>
  <c r="R120" i="1"/>
  <c r="R70" i="1" l="1"/>
  <c r="V174" i="1" l="1"/>
  <c r="U174" i="1"/>
  <c r="T174" i="1"/>
  <c r="S174" i="1"/>
  <c r="R174" i="1"/>
  <c r="S162" i="1" l="1"/>
  <c r="D157" i="1" l="1"/>
  <c r="D116" i="1"/>
  <c r="E96" i="1" s="1"/>
  <c r="R86" i="1" l="1"/>
  <c r="S86" i="1"/>
  <c r="T86" i="1"/>
  <c r="U86" i="1"/>
  <c r="V86" i="1"/>
  <c r="D197" i="1"/>
  <c r="D176" i="1"/>
  <c r="E174" i="1" s="1"/>
  <c r="D124" i="1"/>
  <c r="E120" i="1" s="1"/>
  <c r="D55" i="1"/>
  <c r="R155" i="1" l="1"/>
  <c r="R78" i="1" l="1"/>
  <c r="S78" i="1"/>
  <c r="T78" i="1"/>
  <c r="V78" i="1"/>
  <c r="U78" i="1"/>
  <c r="D22" i="1" l="1"/>
  <c r="R109" i="1" l="1"/>
  <c r="R19" i="1" l="1"/>
  <c r="R186" i="1" l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S197" i="1"/>
  <c r="U197" i="1"/>
  <c r="V197" i="1"/>
  <c r="V185" i="1"/>
  <c r="U185" i="1"/>
  <c r="T185" i="1"/>
  <c r="S185" i="1"/>
  <c r="R185" i="1"/>
  <c r="V181" i="1"/>
  <c r="U181" i="1"/>
  <c r="T181" i="1"/>
  <c r="S181" i="1"/>
  <c r="R181" i="1"/>
  <c r="V180" i="1"/>
  <c r="U180" i="1"/>
  <c r="T180" i="1"/>
  <c r="S180" i="1"/>
  <c r="R180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70" i="1"/>
  <c r="S170" i="1"/>
  <c r="T170" i="1"/>
  <c r="U170" i="1"/>
  <c r="V170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5" i="1"/>
  <c r="S175" i="1"/>
  <c r="T175" i="1"/>
  <c r="U175" i="1"/>
  <c r="V175" i="1"/>
  <c r="S176" i="1"/>
  <c r="U176" i="1"/>
  <c r="V176" i="1"/>
  <c r="V165" i="1"/>
  <c r="U165" i="1"/>
  <c r="T165" i="1"/>
  <c r="S165" i="1"/>
  <c r="R165" i="1"/>
  <c r="V162" i="1"/>
  <c r="U162" i="1"/>
  <c r="T162" i="1"/>
  <c r="R162" i="1"/>
  <c r="V161" i="1"/>
  <c r="U161" i="1"/>
  <c r="T161" i="1"/>
  <c r="S161" i="1"/>
  <c r="R161" i="1"/>
  <c r="S155" i="1"/>
  <c r="T155" i="1"/>
  <c r="U155" i="1"/>
  <c r="V155" i="1"/>
  <c r="R156" i="1"/>
  <c r="S156" i="1"/>
  <c r="T156" i="1"/>
  <c r="U156" i="1"/>
  <c r="V156" i="1"/>
  <c r="S157" i="1"/>
  <c r="U157" i="1"/>
  <c r="V157" i="1"/>
  <c r="V154" i="1"/>
  <c r="U154" i="1"/>
  <c r="T154" i="1"/>
  <c r="S154" i="1"/>
  <c r="R154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S151" i="1"/>
  <c r="U151" i="1"/>
  <c r="V151" i="1"/>
  <c r="V127" i="1"/>
  <c r="U127" i="1"/>
  <c r="T127" i="1"/>
  <c r="S127" i="1"/>
  <c r="R127" i="1"/>
  <c r="R121" i="1"/>
  <c r="S121" i="1"/>
  <c r="T121" i="1"/>
  <c r="U121" i="1"/>
  <c r="V121" i="1"/>
  <c r="R122" i="1"/>
  <c r="S122" i="1"/>
  <c r="T122" i="1"/>
  <c r="U122" i="1"/>
  <c r="V122" i="1"/>
  <c r="R123" i="1"/>
  <c r="S123" i="1"/>
  <c r="T123" i="1"/>
  <c r="U123" i="1"/>
  <c r="V123" i="1"/>
  <c r="S124" i="1"/>
  <c r="U124" i="1"/>
  <c r="V124" i="1"/>
  <c r="V119" i="1"/>
  <c r="U119" i="1"/>
  <c r="T119" i="1"/>
  <c r="S119" i="1"/>
  <c r="R119" i="1"/>
  <c r="R108" i="1"/>
  <c r="S108" i="1"/>
  <c r="T108" i="1"/>
  <c r="U108" i="1"/>
  <c r="V108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S116" i="1"/>
  <c r="U116" i="1"/>
  <c r="V116" i="1"/>
  <c r="V107" i="1"/>
  <c r="U107" i="1"/>
  <c r="T107" i="1"/>
  <c r="S107" i="1"/>
  <c r="R107" i="1"/>
  <c r="R94" i="1"/>
  <c r="S94" i="1"/>
  <c r="T94" i="1"/>
  <c r="U94" i="1"/>
  <c r="V94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V93" i="1"/>
  <c r="U93" i="1"/>
  <c r="T93" i="1"/>
  <c r="S93" i="1"/>
  <c r="R93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7" i="1"/>
  <c r="S87" i="1"/>
  <c r="T87" i="1"/>
  <c r="U87" i="1"/>
  <c r="V87" i="1"/>
  <c r="R88" i="1"/>
  <c r="S88" i="1"/>
  <c r="T88" i="1"/>
  <c r="U88" i="1"/>
  <c r="V88" i="1"/>
  <c r="S89" i="1"/>
  <c r="U89" i="1"/>
  <c r="V89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0" i="1"/>
  <c r="O176" i="1" l="1"/>
  <c r="O197" i="1"/>
  <c r="K197" i="1"/>
  <c r="H197" i="1"/>
  <c r="K182" i="1"/>
  <c r="H182" i="1"/>
  <c r="D182" i="1"/>
  <c r="H176" i="1"/>
  <c r="K176" i="1"/>
  <c r="H157" i="1"/>
  <c r="O157" i="1"/>
  <c r="K157" i="1"/>
  <c r="O151" i="1"/>
  <c r="K151" i="1"/>
  <c r="L169" i="1" s="1"/>
  <c r="H151" i="1"/>
  <c r="D151" i="1"/>
  <c r="O124" i="1"/>
  <c r="K124" i="1"/>
  <c r="L120" i="1" s="1"/>
  <c r="H124" i="1"/>
  <c r="T124" i="1" s="1"/>
  <c r="H116" i="1"/>
  <c r="O116" i="1"/>
  <c r="K116" i="1"/>
  <c r="L96" i="1" s="1"/>
  <c r="O89" i="1"/>
  <c r="K89" i="1"/>
  <c r="H89" i="1"/>
  <c r="D89" i="1"/>
  <c r="O55" i="1"/>
  <c r="K55" i="1"/>
  <c r="H55" i="1"/>
  <c r="O22" i="1"/>
  <c r="H22" i="1"/>
  <c r="L195" i="1" l="1"/>
  <c r="L196" i="1"/>
  <c r="E48" i="1"/>
  <c r="L47" i="1"/>
  <c r="L49" i="1"/>
  <c r="L48" i="1"/>
  <c r="L50" i="1"/>
  <c r="L93" i="1"/>
  <c r="L107" i="1"/>
  <c r="L142" i="1"/>
  <c r="L147" i="1"/>
  <c r="L172" i="1"/>
  <c r="L174" i="1"/>
  <c r="L81" i="1"/>
  <c r="L61" i="1"/>
  <c r="L146" i="1"/>
  <c r="L95" i="1"/>
  <c r="L25" i="1"/>
  <c r="L38" i="1"/>
  <c r="T176" i="1"/>
  <c r="L85" i="1"/>
  <c r="L86" i="1"/>
  <c r="E78" i="1"/>
  <c r="E86" i="1"/>
  <c r="T197" i="1"/>
  <c r="L78" i="1"/>
  <c r="T55" i="1"/>
  <c r="T157" i="1"/>
  <c r="R157" i="1"/>
  <c r="T89" i="1"/>
  <c r="T151" i="1"/>
  <c r="T22" i="1"/>
  <c r="R124" i="1"/>
  <c r="R197" i="1"/>
  <c r="T116" i="1"/>
  <c r="O177" i="1"/>
  <c r="O198" i="1" s="1"/>
  <c r="R151" i="1"/>
  <c r="L141" i="1"/>
  <c r="R116" i="1"/>
  <c r="R89" i="1"/>
  <c r="L60" i="1"/>
  <c r="L62" i="1"/>
  <c r="L64" i="1"/>
  <c r="L66" i="1"/>
  <c r="L68" i="1"/>
  <c r="L70" i="1"/>
  <c r="L72" i="1"/>
  <c r="L74" i="1"/>
  <c r="L76" i="1"/>
  <c r="L79" i="1"/>
  <c r="L83" i="1"/>
  <c r="L88" i="1"/>
  <c r="L59" i="1"/>
  <c r="L63" i="1"/>
  <c r="L65" i="1"/>
  <c r="L67" i="1"/>
  <c r="L69" i="1"/>
  <c r="L71" i="1"/>
  <c r="L73" i="1"/>
  <c r="L75" i="1"/>
  <c r="L77" i="1"/>
  <c r="L80" i="1"/>
  <c r="L82" i="1"/>
  <c r="L84" i="1"/>
  <c r="L87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E167" i="1"/>
  <c r="E170" i="1"/>
  <c r="E172" i="1"/>
  <c r="E175" i="1"/>
  <c r="E166" i="1"/>
  <c r="E168" i="1"/>
  <c r="E171" i="1"/>
  <c r="E173" i="1"/>
  <c r="R176" i="1"/>
  <c r="H177" i="1"/>
  <c r="H198" i="1" s="1"/>
  <c r="J10" i="4"/>
  <c r="J12" i="4" s="1"/>
  <c r="I12" i="4"/>
  <c r="H12" i="4"/>
  <c r="G12" i="4"/>
  <c r="F12" i="4"/>
  <c r="E12" i="4"/>
  <c r="C12" i="4"/>
  <c r="E193" i="1"/>
  <c r="L194" i="1"/>
  <c r="L193" i="1"/>
  <c r="L191" i="1"/>
  <c r="L190" i="1"/>
  <c r="L189" i="1"/>
  <c r="L187" i="1"/>
  <c r="L186" i="1"/>
  <c r="L185" i="1"/>
  <c r="V182" i="1"/>
  <c r="U182" i="1"/>
  <c r="L180" i="1"/>
  <c r="E180" i="1"/>
  <c r="L173" i="1"/>
  <c r="L166" i="1"/>
  <c r="L162" i="1"/>
  <c r="L154" i="1"/>
  <c r="E156" i="1"/>
  <c r="E150" i="1"/>
  <c r="E147" i="1"/>
  <c r="L140" i="1"/>
  <c r="L138" i="1"/>
  <c r="L135" i="1"/>
  <c r="L132" i="1"/>
  <c r="L130" i="1"/>
  <c r="L127" i="1"/>
  <c r="L122" i="1"/>
  <c r="E123" i="1"/>
  <c r="L123" i="1"/>
  <c r="E85" i="1"/>
  <c r="E87" i="1"/>
  <c r="E84" i="1"/>
  <c r="E82" i="1"/>
  <c r="E80" i="1"/>
  <c r="E77" i="1"/>
  <c r="E75" i="1"/>
  <c r="E73" i="1"/>
  <c r="E71" i="1"/>
  <c r="E69" i="1"/>
  <c r="E67" i="1"/>
  <c r="E65" i="1"/>
  <c r="E63" i="1"/>
  <c r="E61" i="1"/>
  <c r="E59" i="1"/>
  <c r="L51" i="1"/>
  <c r="R55" i="1"/>
  <c r="L52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9" i="1"/>
  <c r="L128" i="1"/>
  <c r="L131" i="1"/>
  <c r="L134" i="1"/>
  <c r="L136" i="1"/>
  <c r="L139" i="1"/>
  <c r="L143" i="1"/>
  <c r="E18" i="1"/>
  <c r="L58" i="1"/>
  <c r="E62" i="1"/>
  <c r="E119" i="1"/>
  <c r="E127" i="1"/>
  <c r="E128" i="1"/>
  <c r="E129" i="1"/>
  <c r="E134" i="1"/>
  <c r="E135" i="1"/>
  <c r="E136" i="1"/>
  <c r="E137" i="1"/>
  <c r="E142" i="1"/>
  <c r="E145" i="1"/>
  <c r="E149" i="1"/>
  <c r="L168" i="1"/>
  <c r="L171" i="1"/>
  <c r="E11" i="1"/>
  <c r="E13" i="1"/>
  <c r="E16" i="1"/>
  <c r="E20" i="1"/>
  <c r="L29" i="1"/>
  <c r="L37" i="1"/>
  <c r="L43" i="1"/>
  <c r="K177" i="1"/>
  <c r="L121" i="1"/>
  <c r="E130" i="1"/>
  <c r="E131" i="1"/>
  <c r="E132" i="1"/>
  <c r="E133" i="1"/>
  <c r="E138" i="1"/>
  <c r="E139" i="1"/>
  <c r="E140" i="1"/>
  <c r="E141" i="1"/>
  <c r="E143" i="1"/>
  <c r="E144" i="1"/>
  <c r="E146" i="1"/>
  <c r="E148" i="1"/>
  <c r="L161" i="1"/>
  <c r="L167" i="1"/>
  <c r="L100" i="1"/>
  <c r="L109" i="1"/>
  <c r="L99" i="1"/>
  <c r="L33" i="1"/>
  <c r="L44" i="1"/>
  <c r="L53" i="1"/>
  <c r="E122" i="1"/>
  <c r="L145" i="1"/>
  <c r="L149" i="1"/>
  <c r="L156" i="1"/>
  <c r="E188" i="1"/>
  <c r="E192" i="1"/>
  <c r="E196" i="1"/>
  <c r="D12" i="4"/>
  <c r="E94" i="1"/>
  <c r="L36" i="1"/>
  <c r="L39" i="1"/>
  <c r="L30" i="1"/>
  <c r="L41" i="1"/>
  <c r="L129" i="1"/>
  <c r="L133" i="1"/>
  <c r="L137" i="1"/>
  <c r="E155" i="1"/>
  <c r="E165" i="1"/>
  <c r="E181" i="1"/>
  <c r="L188" i="1"/>
  <c r="L192" i="1"/>
  <c r="L28" i="1"/>
  <c r="E7" i="1"/>
  <c r="E17" i="1"/>
  <c r="E21" i="1"/>
  <c r="L27" i="1"/>
  <c r="L35" i="1"/>
  <c r="L46" i="1"/>
  <c r="E58" i="1"/>
  <c r="E66" i="1"/>
  <c r="E70" i="1"/>
  <c r="E74" i="1"/>
  <c r="E79" i="1"/>
  <c r="E83" i="1"/>
  <c r="E88" i="1"/>
  <c r="E121" i="1"/>
  <c r="L144" i="1"/>
  <c r="L148" i="1"/>
  <c r="L155" i="1"/>
  <c r="L165" i="1"/>
  <c r="L170" i="1"/>
  <c r="L175" i="1"/>
  <c r="L181" i="1"/>
  <c r="R182" i="1"/>
  <c r="E187" i="1"/>
  <c r="E191" i="1"/>
  <c r="E195" i="1"/>
  <c r="E154" i="1"/>
  <c r="E162" i="1"/>
  <c r="E186" i="1"/>
  <c r="E190" i="1"/>
  <c r="E194" i="1"/>
  <c r="L45" i="1"/>
  <c r="L54" i="1"/>
  <c r="L26" i="1"/>
  <c r="L34" i="1"/>
  <c r="E161" i="1"/>
  <c r="E12" i="1"/>
  <c r="E15" i="1"/>
  <c r="L31" i="1"/>
  <c r="L42" i="1"/>
  <c r="E60" i="1"/>
  <c r="E64" i="1"/>
  <c r="E68" i="1"/>
  <c r="E72" i="1"/>
  <c r="E76" i="1"/>
  <c r="E81" i="1"/>
  <c r="L150" i="1"/>
  <c r="E185" i="1"/>
  <c r="E189" i="1"/>
  <c r="L110" i="1" l="1"/>
  <c r="L94" i="1"/>
  <c r="L97" i="1"/>
  <c r="L103" i="1"/>
  <c r="L112" i="1"/>
  <c r="E108" i="1"/>
  <c r="L98" i="1"/>
  <c r="K198" i="1"/>
  <c r="L22" i="1"/>
  <c r="L151" i="1"/>
  <c r="L55" i="1"/>
  <c r="L124" i="1"/>
  <c r="L89" i="1"/>
  <c r="L116" i="1"/>
  <c r="L176" i="1"/>
  <c r="L157" i="1"/>
  <c r="L102" i="1"/>
  <c r="L101" i="1"/>
  <c r="L115" i="1"/>
  <c r="L111" i="1"/>
  <c r="L113" i="1"/>
  <c r="L104" i="1"/>
  <c r="L114" i="1"/>
  <c r="L108" i="1"/>
  <c r="E114" i="1"/>
  <c r="E111" i="1"/>
  <c r="E104" i="1"/>
  <c r="E101" i="1"/>
  <c r="E98" i="1"/>
  <c r="E103" i="1"/>
  <c r="E99" i="1"/>
  <c r="E109" i="1"/>
  <c r="E100" i="1"/>
  <c r="D177" i="1"/>
  <c r="E115" i="1"/>
  <c r="E93" i="1"/>
  <c r="E102" i="1"/>
  <c r="E97" i="1"/>
  <c r="E113" i="1"/>
  <c r="E112" i="1"/>
  <c r="E110" i="1"/>
  <c r="E107" i="1"/>
  <c r="E116" i="1" l="1"/>
  <c r="R177" i="1"/>
  <c r="E55" i="1"/>
  <c r="E151" i="1"/>
  <c r="D198" i="1"/>
  <c r="E89" i="1"/>
  <c r="E22" i="1"/>
  <c r="E176" i="1"/>
  <c r="E124" i="1"/>
  <c r="E157" i="1"/>
</calcChain>
</file>

<file path=xl/sharedStrings.xml><?xml version="1.0" encoding="utf-8"?>
<sst xmlns="http://schemas.openxmlformats.org/spreadsheetml/2006/main" count="412" uniqueCount="258">
  <si>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</si>
  <si>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</si>
  <si>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</si>
  <si>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</si>
  <si>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</si>
  <si>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</si>
  <si>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</si>
  <si>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</si>
  <si>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</si>
  <si>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</si>
  <si>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</si>
  <si>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</si>
  <si>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</si>
  <si>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</si>
  <si>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</si>
  <si>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</si>
  <si>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</si>
  <si>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</si>
  <si>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</si>
  <si>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</si>
  <si>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</si>
  <si>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</si>
  <si>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</si>
  <si>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</si>
  <si>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</si>
  <si>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</si>
  <si>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</si>
  <si>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</si>
  <si>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</si>
  <si>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</si>
  <si>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</si>
  <si>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</si>
  <si>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</si>
  <si>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</si>
  <si>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</si>
  <si>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</si>
  <si>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</si>
  <si>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</si>
  <si>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</si>
  <si>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</si>
  <si>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</si>
  <si>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</si>
  <si>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</si>
  <si>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</si>
  <si>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</si>
  <si>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</si>
  <si>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</si>
  <si>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</si>
  <si>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</si>
  <si>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</si>
  <si>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</si>
  <si>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</si>
  <si>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</si>
  <si>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</si>
  <si>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</si>
  <si>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</si>
  <si>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</si>
  <si>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</si>
  <si>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</si>
  <si>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</si>
  <si>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</si>
  <si>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</si>
  <si>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</si>
  <si>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</si>
  <si>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</si>
  <si>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</si>
  <si>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</si>
  <si>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</si>
  <si>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</si>
  <si>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</si>
  <si>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</si>
  <si>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</si>
  <si>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</si>
  <si>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</si>
  <si>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</si>
  <si>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</si>
  <si>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</si>
  <si>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</si>
  <si>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</si>
  <si>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</si>
  <si>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</si>
  <si>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</si>
  <si>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</si>
  <si>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</si>
  <si>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</si>
  <si>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</si>
  <si>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</si>
  <si>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</si>
  <si>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</si>
  <si>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</si>
  <si>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</si>
  <si>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</si>
  <si>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</si>
  <si>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</si>
  <si>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</si>
  <si>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</si>
  <si>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</si>
  <si>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</si>
  <si>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</si>
  <si>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</si>
  <si>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</si>
  <si>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</si>
  <si>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</si>
  <si>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</si>
  <si>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</si>
  <si>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</si>
  <si>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</si>
  <si>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</si>
  <si>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</si>
  <si>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</si>
  <si>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</si>
  <si>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</si>
  <si>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</si>
  <si>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</si>
  <si>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</si>
  <si>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</si>
  <si>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</si>
  <si>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</si>
  <si>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</si>
  <si>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</si>
  <si>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</si>
  <si>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</si>
  <si>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</si>
  <si>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</si>
  <si>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</si>
  <si>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</si>
  <si>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</si>
  <si>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</si>
  <si>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</si>
  <si>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</si>
  <si>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</si>
  <si>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</si>
  <si>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</si>
  <si>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</si>
  <si>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</si>
  <si>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</si>
  <si>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</si>
  <si>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</si>
  <si>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</si>
  <si>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</si>
  <si>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</si>
  <si>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</si>
  <si>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</si>
  <si>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</si>
  <si>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</si>
  <si>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</si>
  <si>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</si>
  <si>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</si>
  <si>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</si>
  <si>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</si>
  <si>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</si>
  <si>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</si>
  <si>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</si>
  <si>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</si>
  <si>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</si>
  <si>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</si>
  <si>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</si>
  <si>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</si>
  <si>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</si>
  <si>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</si>
  <si>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</si>
  <si>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</si>
  <si>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</si>
  <si>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</si>
  <si>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</si>
  <si>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</si>
  <si>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</si>
  <si>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</si>
  <si>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</si>
  <si>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</si>
  <si>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</si>
  <si>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</si>
  <si>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</si>
  <si>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</si>
  <si>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</si>
  <si>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</si>
  <si>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</si>
  <si>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</si>
  <si>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</si>
  <si>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</si>
  <si>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</si>
  <si>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</si>
  <si>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</si>
  <si>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</si>
  <si>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</si>
  <si>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</si>
  <si>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</si>
  <si>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</si>
  <si>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</si>
  <si>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</si>
  <si>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</si>
  <si>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</si>
  <si>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</si>
  <si>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</si>
  <si>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</si>
  <si>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</si>
  <si>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</si>
  <si>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</si>
  <si>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</si>
  <si>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</si>
  <si>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</si>
  <si>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</si>
  <si>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</si>
  <si>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</si>
  <si>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</si>
  <si>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</si>
  <si>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</si>
  <si>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</si>
  <si>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</si>
  <si>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</si>
  <si>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</si>
  <si>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</si>
  <si>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</si>
  <si>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</si>
  <si>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</si>
  <si>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</si>
  <si>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</si>
  <si>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</si>
  <si>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</si>
  <si>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</si>
  <si>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</si>
  <si>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</si>
  <si>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</si>
  <si>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</si>
  <si>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</si>
  <si>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</si>
  <si>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</si>
  <si>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</si>
  <si>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</si>
  <si>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</si>
  <si>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</si>
  <si>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</si>
  <si>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</si>
  <si>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</si>
  <si>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</si>
  <si>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</si>
  <si>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</si>
  <si>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</si>
  <si>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</si>
  <si>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</si>
  <si>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</si>
  <si>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</si>
  <si>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</si>
  <si>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</si>
  <si>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</si>
  <si>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</si>
  <si>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</si>
  <si>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</si>
  <si>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</si>
  <si>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</si>
  <si>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NAV, Unit Price and Yield as at Week Ended December 1, 2023</t>
  </si>
  <si>
    <t>Week Ended December 1, 2023</t>
  </si>
  <si>
    <t>WEEKLY VALUATION REPORT OF COLLECTIVE INVESTMENT SCHEMES AS AT WEEK ENDED FRIDAY, DECEMBER 8, 2023</t>
  </si>
  <si>
    <t>NAV, Unit Price and Yield as at Week Ended December 8, 2023</t>
  </si>
  <si>
    <t>9..19%</t>
  </si>
  <si>
    <t>FSDH Halal Fund</t>
  </si>
  <si>
    <t>Week Ended December 8, 2023</t>
  </si>
  <si>
    <t>The chart above shows that the Dollar Fund category (Eurobonds and Fixed Income) has the highest share of the Aggregate Net Asset Value (NAV) at 39.17% , followed by  Money Market Fund with 38.66%, Bond/Fixed Income Fund at 12.81%, Real Estate Investment Trust at 4.28%.  Next is Shari'ah Compliant Fund at 2.02%, Balanced Fund at 1.84%, Equity Fund at 1.02%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</si>
</sst>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3" fillId="0" borderId="0" xfId="0" applyFont="1" applyBorder="1"/>
    <xf numFmtId="16" fontId="24" fillId="3" borderId="0" xfId="0" applyNumberFormat="1" applyFont="1" applyFill="1" applyBorder="1"/>
    <xf numFmtId="43" fontId="25" fillId="0" borderId="0" xfId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11" fillId="3" borderId="0" xfId="0" applyNumberFormat="1" applyFont="1" applyFill="1" applyBorder="1"/>
    <xf numFmtId="0" fontId="11" fillId="3" borderId="0" xfId="0" applyFont="1" applyFill="1" applyAlignment="1">
      <alignment wrapText="1"/>
    </xf>
    <xf numFmtId="166" fontId="4" fillId="5" borderId="5" xfId="2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16" fontId="10" fillId="3" borderId="0" xfId="0" applyNumberFormat="1" applyFont="1" applyFill="1" applyBorder="1"/>
    <xf numFmtId="4" fontId="11" fillId="3" borderId="0" xfId="0" applyNumberFormat="1" applyFont="1" applyFill="1" applyBorder="1" applyAlignment="1">
      <alignment horizontal="right"/>
    </xf>
    <xf numFmtId="43" fontId="12" fillId="3" borderId="0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43" fontId="14" fillId="0" borderId="0" xfId="1" applyFont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7" fillId="13" borderId="0" xfId="0" applyFont="1" applyFill="1" applyAlignment="1">
      <alignment horizontal="center" wrapText="1"/>
    </xf>
  </cellXfs>
  <cellStyles count="8">
    <cellStyle name="Comma" xfId="1" builtinId="3"/>
    <cellStyle name="Comma 10 13" xfId="3"/>
    <cellStyle name="Comma 2" xfId="7"/>
    <cellStyle name="Comma 3 2" xfId="4"/>
    <cellStyle name="Normal" xfId="0" builtinId="0"/>
    <cellStyle name="Normal 27 2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47137750022627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December 1,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23.0028422880406</c:v>
                </c:pt>
                <c:pt idx="1">
                  <c:v>869.196903201498</c:v>
                </c:pt>
                <c:pt idx="2">
                  <c:v>291.94813351151504</c:v>
                </c:pt>
                <c:pt idx="3">
                  <c:v>749.48723967521903</c:v>
                </c:pt>
                <c:pt idx="4">
                  <c:v>96.469811252586894</c:v>
                </c:pt>
                <c:pt idx="5" formatCode="_(* #,##0.00_);_(* \(#,##0.00\);_(* &quot;-&quot;??_);_(@_)">
                  <c:v>40.757011293124997</c:v>
                </c:pt>
                <c:pt idx="6">
                  <c:v>4.2658394917800004</c:v>
                </c:pt>
                <c:pt idx="7">
                  <c:v>45.253870390849997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December 8,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23.062133182507498</c:v>
                </c:pt>
                <c:pt idx="1">
                  <c:v>870.6278005399671</c:v>
                </c:pt>
                <c:pt idx="2">
                  <c:v>288.45890184725999</c:v>
                </c:pt>
                <c:pt idx="3">
                  <c:v>882.09377563484895</c:v>
                </c:pt>
                <c:pt idx="4">
                  <c:v>96.484505230946894</c:v>
                </c:pt>
                <c:pt idx="5" formatCode="_(* #,##0.00_);_(* \(#,##0.00\);_(* &quot;-&quot;??_);_(@_)">
                  <c:v>41.347090375940297</c:v>
                </c:pt>
                <c:pt idx="6">
                  <c:v>4.2919896019800001</c:v>
                </c:pt>
                <c:pt idx="7">
                  <c:v>45.524715951214702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8TH DECEMBER, 2023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08-Dec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4291989601.98</c:v>
                </c:pt>
                <c:pt idx="1">
                  <c:v>23062133182.5075</c:v>
                </c:pt>
                <c:pt idx="2" formatCode="_(* #,##0.00_);_(* \(#,##0.00\);_(* &quot;-&quot;??_);_(@_)">
                  <c:v>41347090375.940308</c:v>
                </c:pt>
                <c:pt idx="3">
                  <c:v>45524715951.214706</c:v>
                </c:pt>
                <c:pt idx="4">
                  <c:v>96484505230.946899</c:v>
                </c:pt>
                <c:pt idx="5">
                  <c:v>288458901847.26001</c:v>
                </c:pt>
                <c:pt idx="6">
                  <c:v>870627800539.9668</c:v>
                </c:pt>
                <c:pt idx="7">
                  <c:v>882093775634.84949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Movement'!$D$2:$J$2</c:f>
              <c:numCache>
                <c:formatCode>d\-mmm</c:formatCode>
                <c:ptCount val="7"/>
                <c:pt idx="0">
                  <c:v>45233</c:v>
                </c:pt>
                <c:pt idx="1">
                  <c:v>45240</c:v>
                </c:pt>
                <c:pt idx="2">
                  <c:v>45247</c:v>
                </c:pt>
                <c:pt idx="3">
                  <c:v>45254</c:v>
                </c:pt>
                <c:pt idx="4">
                  <c:v>45261</c:v>
                </c:pt>
                <c:pt idx="5">
                  <c:v>45268</c:v>
                </c:pt>
              </c:numCache>
            </c:numRef>
          </c:cat>
          <c:val>
            <c:numRef>
              <c:f>'NAV Movement'!$D$3:$J$3</c:f>
              <c:numCache>
                <c:formatCode>_(* #,##0.00_);_(* \(#,##0.00\);_(* "-"??_);_(@_)</c:formatCode>
                <c:ptCount val="7"/>
                <c:pt idx="0">
                  <c:v>1995029350611.7961</c:v>
                </c:pt>
                <c:pt idx="1">
                  <c:v>2004454649356.7783</c:v>
                </c:pt>
                <c:pt idx="2">
                  <c:v>2019879952817.2942</c:v>
                </c:pt>
                <c:pt idx="3">
                  <c:v>2023797867882.8513</c:v>
                </c:pt>
                <c:pt idx="4">
                  <c:v>2120381651104.615</c:v>
                </c:pt>
                <c:pt idx="5">
                  <c:v>2251890912364.666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25</xdr:col>
      <xdr:colOff>457200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2257425</xdr:colOff>
      <xdr:row>0</xdr:row>
      <xdr:rowOff>0</xdr:rowOff>
    </xdr:from>
    <xdr:to>
      <xdr:col>16</xdr:col>
      <xdr:colOff>339090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606136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8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43" t="s">
        <v>252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6"/>
    </row>
    <row r="2" spans="1:25" ht="15" customHeight="1">
      <c r="A2" s="1"/>
      <c r="B2" s="1"/>
      <c r="C2" s="1"/>
      <c r="D2" s="149" t="s">
        <v>250</v>
      </c>
      <c r="E2" s="150"/>
      <c r="F2" s="150"/>
      <c r="G2" s="150"/>
      <c r="H2" s="150"/>
      <c r="I2" s="150"/>
      <c r="J2" s="151"/>
      <c r="K2" s="149" t="s">
        <v>253</v>
      </c>
      <c r="L2" s="150"/>
      <c r="M2" s="150"/>
      <c r="N2" s="150"/>
      <c r="O2" s="150"/>
      <c r="P2" s="150"/>
      <c r="Q2" s="151"/>
      <c r="R2" s="149" t="s">
        <v>0</v>
      </c>
      <c r="S2" s="150"/>
      <c r="T2" s="151"/>
      <c r="U2" s="147" t="s">
        <v>1</v>
      </c>
      <c r="V2" s="147"/>
    </row>
    <row r="3" spans="1:25" ht="25.5">
      <c r="A3" s="82" t="s">
        <v>2</v>
      </c>
      <c r="B3" s="76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230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230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236</v>
      </c>
      <c r="U3" s="78" t="s">
        <v>13</v>
      </c>
      <c r="V3" s="78" t="s">
        <v>14</v>
      </c>
    </row>
    <row r="4" spans="1:25" ht="7.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 spans="1:25" ht="15" customHeight="1">
      <c r="A5" s="140" t="s">
        <v>15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</row>
    <row r="6" spans="1:25">
      <c r="A6" s="133">
        <v>1</v>
      </c>
      <c r="B6" s="119" t="s">
        <v>16</v>
      </c>
      <c r="C6" s="120" t="s">
        <v>17</v>
      </c>
      <c r="D6" s="2">
        <v>748737325.54999995</v>
      </c>
      <c r="E6" s="3">
        <f t="shared" ref="E6:E21" si="0">(D6/$D$22)</f>
        <v>3.2549774335464438E-2</v>
      </c>
      <c r="F6" s="8">
        <v>293.83010000000002</v>
      </c>
      <c r="G6" s="8">
        <v>297.803</v>
      </c>
      <c r="H6" s="60">
        <v>1725</v>
      </c>
      <c r="I6" s="5">
        <v>1.26E-2</v>
      </c>
      <c r="J6" s="5">
        <v>0.55869999999999997</v>
      </c>
      <c r="K6" s="2">
        <v>766008689.29999995</v>
      </c>
      <c r="L6" s="3">
        <f>(K6/$K$22)</f>
        <v>3.3214997209408771E-2</v>
      </c>
      <c r="M6" s="8">
        <v>298.84890000000001</v>
      </c>
      <c r="N6" s="8">
        <v>304.70890000000003</v>
      </c>
      <c r="O6" s="60">
        <v>1726</v>
      </c>
      <c r="P6" s="5">
        <v>1.7100000000000001E-2</v>
      </c>
      <c r="Q6" s="5">
        <v>0.58530000000000004</v>
      </c>
      <c r="R6" s="80">
        <f>((K6-D6)/D6)</f>
        <v>2.30673203547225E-2</v>
      </c>
      <c r="S6" s="80">
        <f t="shared" ref="S6" si="1">((N6-G6)/G6)</f>
        <v>2.3189491039378486E-2</v>
      </c>
      <c r="T6" s="80">
        <f>((O6-H6)/H6)</f>
        <v>5.7971014492753622E-4</v>
      </c>
      <c r="U6" s="81">
        <f>P6-I6</f>
        <v>4.5000000000000005E-3</v>
      </c>
      <c r="V6" s="83">
        <f>Q6-J6</f>
        <v>2.6600000000000068E-2</v>
      </c>
    </row>
    <row r="7" spans="1:25">
      <c r="A7" s="125">
        <v>2</v>
      </c>
      <c r="B7" s="119" t="s">
        <v>18</v>
      </c>
      <c r="C7" s="120" t="s">
        <v>19</v>
      </c>
      <c r="D7" s="4">
        <v>499628827.81999999</v>
      </c>
      <c r="E7" s="3">
        <f t="shared" si="0"/>
        <v>2.1720308367273459E-2</v>
      </c>
      <c r="F7" s="4">
        <v>183.29040000000001</v>
      </c>
      <c r="G7" s="4">
        <v>185.6953</v>
      </c>
      <c r="H7" s="60">
        <v>370</v>
      </c>
      <c r="I7" s="5">
        <v>3.7599999999999999E-3</v>
      </c>
      <c r="J7" s="5">
        <v>0.26450000000000001</v>
      </c>
      <c r="K7" s="4">
        <v>379401128.35000002</v>
      </c>
      <c r="L7" s="3">
        <f t="shared" ref="L7:L21" si="2">(K7/$K$22)</f>
        <v>1.6451259098519719E-2</v>
      </c>
      <c r="M7" s="4">
        <v>183.06360000000001</v>
      </c>
      <c r="N7" s="4">
        <v>185.45509999999999</v>
      </c>
      <c r="O7" s="60">
        <v>372</v>
      </c>
      <c r="P7" s="5">
        <v>-8.9309999999999997E-3</v>
      </c>
      <c r="Q7" s="5">
        <v>0.26300000000000001</v>
      </c>
      <c r="R7" s="80">
        <f t="shared" ref="R7:R22" si="3">((K7-D7)/D7)</f>
        <v>-0.24063403225666974</v>
      </c>
      <c r="S7" s="80">
        <f t="shared" ref="S7:S22" si="4">((N7-G7)/G7)</f>
        <v>-1.2935168526075551E-3</v>
      </c>
      <c r="T7" s="80">
        <f t="shared" ref="T7:T22" si="5">((O7-H7)/H7)</f>
        <v>5.4054054054054057E-3</v>
      </c>
      <c r="U7" s="81">
        <f t="shared" ref="U7:U22" si="6">P7-I7</f>
        <v>-1.2690999999999999E-2</v>
      </c>
      <c r="V7" s="83">
        <f t="shared" ref="V7:V22" si="7">Q7-J7</f>
        <v>-1.5000000000000013E-3</v>
      </c>
    </row>
    <row r="8" spans="1:25">
      <c r="A8" s="125">
        <v>3</v>
      </c>
      <c r="B8" s="119" t="s">
        <v>20</v>
      </c>
      <c r="C8" s="120" t="s">
        <v>21</v>
      </c>
      <c r="D8" s="4">
        <v>3196994769.7199998</v>
      </c>
      <c r="E8" s="3">
        <f t="shared" si="0"/>
        <v>0.13898259744110614</v>
      </c>
      <c r="F8" s="4">
        <v>29.505400000000002</v>
      </c>
      <c r="G8" s="4">
        <v>30.395</v>
      </c>
      <c r="H8" s="62">
        <v>6336</v>
      </c>
      <c r="I8" s="6">
        <v>3.5000000000000003E-2</v>
      </c>
      <c r="J8" s="6">
        <v>0.3609</v>
      </c>
      <c r="K8" s="4">
        <v>3191937482.73</v>
      </c>
      <c r="L8" s="3">
        <f t="shared" si="2"/>
        <v>0.13840599468704251</v>
      </c>
      <c r="M8" s="4">
        <v>29.4299</v>
      </c>
      <c r="N8" s="4">
        <v>30.3172</v>
      </c>
      <c r="O8" s="62">
        <v>6341</v>
      </c>
      <c r="P8" s="6">
        <v>-0.13350000000000001</v>
      </c>
      <c r="Q8" s="6">
        <v>0.34989999999999999</v>
      </c>
      <c r="R8" s="80">
        <f t="shared" si="3"/>
        <v>-1.5818877897140571E-3</v>
      </c>
      <c r="S8" s="80">
        <f t="shared" si="4"/>
        <v>-2.5596315183418284E-3</v>
      </c>
      <c r="T8" s="80">
        <f t="shared" si="5"/>
        <v>7.8914141414141413E-4</v>
      </c>
      <c r="U8" s="81">
        <f t="shared" si="6"/>
        <v>-0.16850000000000001</v>
      </c>
      <c r="V8" s="83">
        <f t="shared" si="7"/>
        <v>-1.100000000000001E-2</v>
      </c>
      <c r="X8" s="106"/>
      <c r="Y8" s="106"/>
    </row>
    <row r="9" spans="1:25">
      <c r="A9" s="125">
        <v>4</v>
      </c>
      <c r="B9" s="119" t="s">
        <v>22</v>
      </c>
      <c r="C9" s="120" t="s">
        <v>23</v>
      </c>
      <c r="D9" s="4">
        <v>458386796.18000001</v>
      </c>
      <c r="E9" s="3">
        <f t="shared" si="0"/>
        <v>1.9927398120636586E-2</v>
      </c>
      <c r="F9" s="4">
        <v>193.46</v>
      </c>
      <c r="G9" s="4">
        <v>193.46</v>
      </c>
      <c r="H9" s="60">
        <v>1695</v>
      </c>
      <c r="I9" s="5">
        <v>4.1000000000000003E-3</v>
      </c>
      <c r="J9" s="5">
        <v>0.41670000000000001</v>
      </c>
      <c r="K9" s="4">
        <v>468591579.64999998</v>
      </c>
      <c r="L9" s="3">
        <f t="shared" si="2"/>
        <v>2.031865725263542E-2</v>
      </c>
      <c r="M9" s="4">
        <v>194.66</v>
      </c>
      <c r="N9" s="4">
        <v>194.66</v>
      </c>
      <c r="O9" s="60">
        <v>1702</v>
      </c>
      <c r="P9" s="5">
        <v>6.1999999999999998E-3</v>
      </c>
      <c r="Q9" s="5">
        <v>0.42549999999999999</v>
      </c>
      <c r="R9" s="80">
        <f t="shared" si="3"/>
        <v>2.2262385293473286E-2</v>
      </c>
      <c r="S9" s="80">
        <f t="shared" si="4"/>
        <v>6.2028326268995584E-3</v>
      </c>
      <c r="T9" s="80">
        <f t="shared" si="5"/>
        <v>4.1297935103244837E-3</v>
      </c>
      <c r="U9" s="81">
        <f t="shared" si="6"/>
        <v>2.0999999999999994E-3</v>
      </c>
      <c r="V9" s="83">
        <f t="shared" si="7"/>
        <v>8.7999999999999745E-3</v>
      </c>
    </row>
    <row r="10" spans="1:25">
      <c r="A10" s="133">
        <v>5</v>
      </c>
      <c r="B10" s="119" t="s">
        <v>24</v>
      </c>
      <c r="C10" s="120" t="s">
        <v>25</v>
      </c>
      <c r="D10" s="7">
        <v>123648928.44</v>
      </c>
      <c r="E10" s="3">
        <f t="shared" si="0"/>
        <v>5.37537609012284E-3</v>
      </c>
      <c r="F10" s="4">
        <v>132.78890000000001</v>
      </c>
      <c r="G10" s="4">
        <v>133.57830000000001</v>
      </c>
      <c r="H10" s="62">
        <v>60</v>
      </c>
      <c r="I10" s="123">
        <v>3.21E-4</v>
      </c>
      <c r="J10" s="6">
        <v>0.26390000000000002</v>
      </c>
      <c r="K10" s="7">
        <v>124651694.40000001</v>
      </c>
      <c r="L10" s="3">
        <f t="shared" si="2"/>
        <v>5.4050374877961261E-3</v>
      </c>
      <c r="M10" s="4">
        <v>133.833</v>
      </c>
      <c r="N10" s="4">
        <v>134.6302</v>
      </c>
      <c r="O10" s="62">
        <v>61</v>
      </c>
      <c r="P10" s="123">
        <v>2.4329999999999998E-3</v>
      </c>
      <c r="Q10" s="6">
        <v>0.27379999999999999</v>
      </c>
      <c r="R10" s="80">
        <f t="shared" si="3"/>
        <v>8.1097828557939768E-3</v>
      </c>
      <c r="S10" s="80">
        <f t="shared" si="4"/>
        <v>7.8747820566663074E-3</v>
      </c>
      <c r="T10" s="80">
        <f t="shared" si="5"/>
        <v>1.6666666666666666E-2</v>
      </c>
      <c r="U10" s="81">
        <f t="shared" si="6"/>
        <v>2.1119999999999997E-3</v>
      </c>
      <c r="V10" s="83">
        <f t="shared" si="7"/>
        <v>9.8999999999999644E-3</v>
      </c>
    </row>
    <row r="11" spans="1:25">
      <c r="A11" s="133">
        <v>6</v>
      </c>
      <c r="B11" s="119" t="s">
        <v>26</v>
      </c>
      <c r="C11" s="120" t="s">
        <v>27</v>
      </c>
      <c r="D11" s="4">
        <v>774301573.52999997</v>
      </c>
      <c r="E11" s="3">
        <f t="shared" si="0"/>
        <v>3.3661126039740176E-2</v>
      </c>
      <c r="F11" s="4">
        <v>234.53</v>
      </c>
      <c r="G11" s="4">
        <v>237.57</v>
      </c>
      <c r="H11" s="62">
        <v>1578</v>
      </c>
      <c r="I11" s="6">
        <v>3.0999999999999999E-3</v>
      </c>
      <c r="J11" s="6">
        <v>0.55210000000000004</v>
      </c>
      <c r="K11" s="4">
        <v>794960001.76999998</v>
      </c>
      <c r="L11" s="3">
        <f t="shared" si="2"/>
        <v>3.4470358638504991E-2</v>
      </c>
      <c r="M11" s="4">
        <v>237.39</v>
      </c>
      <c r="N11" s="4">
        <v>240.55</v>
      </c>
      <c r="O11" s="62">
        <v>1581</v>
      </c>
      <c r="P11" s="6">
        <v>1.24E-2</v>
      </c>
      <c r="Q11" s="6">
        <v>0.56940000000000002</v>
      </c>
      <c r="R11" s="80">
        <f t="shared" si="3"/>
        <v>2.6680080405647798E-2</v>
      </c>
      <c r="S11" s="80">
        <f t="shared" si="4"/>
        <v>1.2543671338973853E-2</v>
      </c>
      <c r="T11" s="80">
        <f t="shared" si="5"/>
        <v>1.9011406844106464E-3</v>
      </c>
      <c r="U11" s="81">
        <f t="shared" si="6"/>
        <v>9.2999999999999992E-3</v>
      </c>
      <c r="V11" s="83">
        <f t="shared" si="7"/>
        <v>1.7299999999999982E-2</v>
      </c>
    </row>
    <row r="12" spans="1:25">
      <c r="A12" s="136">
        <v>7</v>
      </c>
      <c r="B12" s="119" t="s">
        <v>28</v>
      </c>
      <c r="C12" s="120" t="s">
        <v>29</v>
      </c>
      <c r="D12" s="2">
        <v>303902307.12</v>
      </c>
      <c r="E12" s="3">
        <f t="shared" si="0"/>
        <v>1.3211511139125696E-2</v>
      </c>
      <c r="F12" s="4">
        <v>152.87</v>
      </c>
      <c r="G12" s="4">
        <v>157.62</v>
      </c>
      <c r="H12" s="60">
        <v>2379</v>
      </c>
      <c r="I12" s="5">
        <v>8.2439999999999996E-3</v>
      </c>
      <c r="J12" s="5">
        <v>0.216054</v>
      </c>
      <c r="K12" s="2">
        <v>310683727.5</v>
      </c>
      <c r="L12" s="3">
        <f t="shared" si="2"/>
        <v>1.3471595408860611E-2</v>
      </c>
      <c r="M12" s="4">
        <v>156.28</v>
      </c>
      <c r="N12" s="4">
        <v>161.16999999999999</v>
      </c>
      <c r="O12" s="60">
        <v>2379</v>
      </c>
      <c r="P12" s="5">
        <v>2.23E-2</v>
      </c>
      <c r="Q12" s="5">
        <v>0.24318000000000001</v>
      </c>
      <c r="R12" s="80">
        <f t="shared" si="3"/>
        <v>2.2314474820101508E-2</v>
      </c>
      <c r="S12" s="80">
        <f t="shared" si="4"/>
        <v>2.2522522522522414E-2</v>
      </c>
      <c r="T12" s="80">
        <f t="shared" si="5"/>
        <v>0</v>
      </c>
      <c r="U12" s="81">
        <f t="shared" si="6"/>
        <v>1.4056000000000001E-2</v>
      </c>
      <c r="V12" s="83">
        <f t="shared" si="7"/>
        <v>2.7126000000000011E-2</v>
      </c>
    </row>
    <row r="13" spans="1:25">
      <c r="A13" s="125">
        <v>8</v>
      </c>
      <c r="B13" s="119" t="s">
        <v>30</v>
      </c>
      <c r="C13" s="120" t="s">
        <v>31</v>
      </c>
      <c r="D13" s="7">
        <v>45964668.280000001</v>
      </c>
      <c r="E13" s="3">
        <f t="shared" si="0"/>
        <v>1.9982169031301615E-3</v>
      </c>
      <c r="F13" s="4">
        <v>178.57</v>
      </c>
      <c r="G13" s="4">
        <v>184.17</v>
      </c>
      <c r="H13" s="60">
        <v>4</v>
      </c>
      <c r="I13" s="5">
        <v>1E-4</v>
      </c>
      <c r="J13" s="5">
        <v>0.85</v>
      </c>
      <c r="K13" s="7">
        <v>45964668.280000001</v>
      </c>
      <c r="L13" s="3">
        <f t="shared" si="2"/>
        <v>1.9930796477605961E-3</v>
      </c>
      <c r="M13" s="4">
        <v>178.57</v>
      </c>
      <c r="N13" s="4">
        <v>184.17</v>
      </c>
      <c r="O13" s="60">
        <v>4</v>
      </c>
      <c r="P13" s="5">
        <v>1E-4</v>
      </c>
      <c r="Q13" s="5">
        <v>0.85</v>
      </c>
      <c r="R13" s="80">
        <f t="shared" si="3"/>
        <v>0</v>
      </c>
      <c r="S13" s="80">
        <f t="shared" si="4"/>
        <v>0</v>
      </c>
      <c r="T13" s="80">
        <f t="shared" si="5"/>
        <v>0</v>
      </c>
      <c r="U13" s="81">
        <f t="shared" si="6"/>
        <v>0</v>
      </c>
      <c r="V13" s="83">
        <f t="shared" si="7"/>
        <v>0</v>
      </c>
    </row>
    <row r="14" spans="1:25" ht="14.25" customHeight="1">
      <c r="A14" s="133">
        <v>9</v>
      </c>
      <c r="B14" s="119" t="s">
        <v>239</v>
      </c>
      <c r="C14" s="120" t="s">
        <v>32</v>
      </c>
      <c r="D14" s="2">
        <v>527219818.38059998</v>
      </c>
      <c r="E14" s="3">
        <f t="shared" si="0"/>
        <v>2.2919768425952589E-2</v>
      </c>
      <c r="F14" s="4">
        <v>1.6333</v>
      </c>
      <c r="G14" s="4">
        <v>1.6847000000000001</v>
      </c>
      <c r="H14" s="60">
        <v>361</v>
      </c>
      <c r="I14" s="5">
        <v>1.7759222333000979E-2</v>
      </c>
      <c r="J14" s="5">
        <v>0.31622209686517855</v>
      </c>
      <c r="K14" s="2">
        <v>534211667.60750002</v>
      </c>
      <c r="L14" s="3">
        <f t="shared" si="2"/>
        <v>2.3164017976129658E-2</v>
      </c>
      <c r="M14" s="4">
        <v>1.6496999999999999</v>
      </c>
      <c r="N14" s="4">
        <v>1.7017</v>
      </c>
      <c r="O14" s="60">
        <v>363</v>
      </c>
      <c r="P14" s="5">
        <v>1.0041021245331461E-2</v>
      </c>
      <c r="Q14" s="5">
        <v>0.32943831090337672</v>
      </c>
      <c r="R14" s="80">
        <f t="shared" si="3"/>
        <v>1.3261734447646703E-2</v>
      </c>
      <c r="S14" s="80">
        <f t="shared" si="4"/>
        <v>1.0090817356205796E-2</v>
      </c>
      <c r="T14" s="80">
        <f t="shared" si="5"/>
        <v>5.5401662049861496E-3</v>
      </c>
      <c r="U14" s="81">
        <f t="shared" si="6"/>
        <v>-7.7182010876695184E-3</v>
      </c>
      <c r="V14" s="83">
        <f t="shared" si="7"/>
        <v>1.3216214038198171E-2</v>
      </c>
    </row>
    <row r="15" spans="1:25">
      <c r="A15" s="133">
        <v>10</v>
      </c>
      <c r="B15" s="119" t="s">
        <v>33</v>
      </c>
      <c r="C15" s="120" t="s">
        <v>34</v>
      </c>
      <c r="D15" s="2">
        <v>1317133686.3800001</v>
      </c>
      <c r="E15" s="3">
        <f t="shared" si="0"/>
        <v>5.7259606003767227E-2</v>
      </c>
      <c r="F15" s="4">
        <v>2.65</v>
      </c>
      <c r="G15" s="4">
        <v>2.7</v>
      </c>
      <c r="H15" s="60">
        <v>3672</v>
      </c>
      <c r="I15" s="5">
        <v>0.24590000000000001</v>
      </c>
      <c r="J15" s="5">
        <v>0.33960000000000001</v>
      </c>
      <c r="K15" s="2">
        <v>1320655119.1700001</v>
      </c>
      <c r="L15" s="3">
        <f t="shared" si="2"/>
        <v>5.7265089431176718E-2</v>
      </c>
      <c r="M15" s="4">
        <v>2.66</v>
      </c>
      <c r="N15" s="4">
        <v>2.71</v>
      </c>
      <c r="O15" s="60">
        <v>3671</v>
      </c>
      <c r="P15" s="5">
        <v>0.24929999999999999</v>
      </c>
      <c r="Q15" s="5">
        <v>0.34320000000000001</v>
      </c>
      <c r="R15" s="80">
        <f t="shared" si="3"/>
        <v>2.673557609537905E-3</v>
      </c>
      <c r="S15" s="80">
        <f t="shared" si="4"/>
        <v>3.7037037037036245E-3</v>
      </c>
      <c r="T15" s="80">
        <f t="shared" si="5"/>
        <v>-2.7233115468409589E-4</v>
      </c>
      <c r="U15" s="81">
        <f t="shared" si="6"/>
        <v>3.3999999999999864E-3</v>
      </c>
      <c r="V15" s="83">
        <f t="shared" si="7"/>
        <v>3.5999999999999921E-3</v>
      </c>
    </row>
    <row r="16" spans="1:25">
      <c r="A16" s="133">
        <v>11</v>
      </c>
      <c r="B16" s="119" t="s">
        <v>35</v>
      </c>
      <c r="C16" s="120" t="s">
        <v>36</v>
      </c>
      <c r="D16" s="4">
        <v>476660385.38</v>
      </c>
      <c r="E16" s="3">
        <f t="shared" si="0"/>
        <v>2.072180382803478E-2</v>
      </c>
      <c r="F16" s="4">
        <v>17.346053999999999</v>
      </c>
      <c r="G16" s="4">
        <v>17.487082000000001</v>
      </c>
      <c r="H16" s="60">
        <v>267</v>
      </c>
      <c r="I16" s="5">
        <v>1.3441466137804392E-2</v>
      </c>
      <c r="J16" s="5">
        <v>0.48349241517611663</v>
      </c>
      <c r="K16" s="4">
        <v>483518256.60000002</v>
      </c>
      <c r="L16" s="3">
        <f t="shared" si="2"/>
        <v>2.0965894732007963E-2</v>
      </c>
      <c r="M16" s="4">
        <v>17.603465</v>
      </c>
      <c r="N16" s="4">
        <v>17.751268</v>
      </c>
      <c r="O16" s="60">
        <v>270</v>
      </c>
      <c r="P16" s="5">
        <v>1.4839743955599394E-2</v>
      </c>
      <c r="Q16" s="5">
        <v>0.5043070964194456</v>
      </c>
      <c r="R16" s="80">
        <f t="shared" si="3"/>
        <v>1.4387332009000166E-2</v>
      </c>
      <c r="S16" s="80">
        <f t="shared" si="4"/>
        <v>1.5107494778145301E-2</v>
      </c>
      <c r="T16" s="80">
        <f t="shared" si="5"/>
        <v>1.1235955056179775E-2</v>
      </c>
      <c r="U16" s="81">
        <f t="shared" si="6"/>
        <v>1.3982778177950017E-3</v>
      </c>
      <c r="V16" s="83">
        <f t="shared" si="7"/>
        <v>2.081468124332897E-2</v>
      </c>
    </row>
    <row r="17" spans="1:22">
      <c r="A17" s="134">
        <v>12</v>
      </c>
      <c r="B17" s="119" t="s">
        <v>37</v>
      </c>
      <c r="C17" s="120" t="s">
        <v>38</v>
      </c>
      <c r="D17" s="4">
        <v>288141150.05000001</v>
      </c>
      <c r="E17" s="3">
        <f t="shared" si="0"/>
        <v>1.2526328113800415E-2</v>
      </c>
      <c r="F17" s="4">
        <v>2.07606</v>
      </c>
      <c r="G17" s="4">
        <v>2.100552</v>
      </c>
      <c r="H17" s="60">
        <v>16</v>
      </c>
      <c r="I17" s="5">
        <v>1.2999999999999999E-3</v>
      </c>
      <c r="J17" s="5">
        <v>0.46039999999999998</v>
      </c>
      <c r="K17" s="4">
        <v>291960398.62</v>
      </c>
      <c r="L17" s="3">
        <f t="shared" si="2"/>
        <v>1.2659730837104451E-2</v>
      </c>
      <c r="M17" s="4">
        <v>2.1035780000000002</v>
      </c>
      <c r="N17" s="4">
        <v>2.1289250000000002</v>
      </c>
      <c r="O17" s="60">
        <v>16</v>
      </c>
      <c r="P17" s="5">
        <v>1.2999999999999999E-3</v>
      </c>
      <c r="Q17" s="5">
        <v>0.47989999999999999</v>
      </c>
      <c r="R17" s="80">
        <f t="shared" si="3"/>
        <v>1.3254783530006919E-2</v>
      </c>
      <c r="S17" s="80">
        <f t="shared" si="4"/>
        <v>1.3507401863891112E-2</v>
      </c>
      <c r="T17" s="80">
        <f t="shared" si="5"/>
        <v>0</v>
      </c>
      <c r="U17" s="81">
        <f t="shared" si="6"/>
        <v>0</v>
      </c>
      <c r="V17" s="83">
        <f t="shared" si="7"/>
        <v>1.9500000000000017E-2</v>
      </c>
    </row>
    <row r="18" spans="1:22">
      <c r="A18" s="125">
        <v>13</v>
      </c>
      <c r="B18" s="119" t="s">
        <v>39</v>
      </c>
      <c r="C18" s="120" t="s">
        <v>40</v>
      </c>
      <c r="D18" s="2">
        <v>1036245770.95</v>
      </c>
      <c r="E18" s="3">
        <f t="shared" si="0"/>
        <v>4.5048596950506163E-2</v>
      </c>
      <c r="F18" s="4">
        <v>25.36</v>
      </c>
      <c r="G18" s="4">
        <v>25.88</v>
      </c>
      <c r="H18" s="60">
        <v>8863</v>
      </c>
      <c r="I18" s="5">
        <v>1.49E-2</v>
      </c>
      <c r="J18" s="5">
        <v>0.44629999999999997</v>
      </c>
      <c r="K18" s="2">
        <v>1067361649.4299999</v>
      </c>
      <c r="L18" s="3">
        <f t="shared" si="2"/>
        <v>4.6282000064052524E-2</v>
      </c>
      <c r="M18" s="4">
        <v>25.36</v>
      </c>
      <c r="N18" s="4">
        <v>25.88</v>
      </c>
      <c r="O18" s="60">
        <v>8863</v>
      </c>
      <c r="P18" s="5">
        <v>1.3599999999999999E-2</v>
      </c>
      <c r="Q18" s="5">
        <v>0.46450000000000002</v>
      </c>
      <c r="R18" s="80">
        <f t="shared" si="3"/>
        <v>3.0027508292240136E-2</v>
      </c>
      <c r="S18" s="80">
        <f t="shared" si="4"/>
        <v>0</v>
      </c>
      <c r="T18" s="80">
        <f t="shared" si="5"/>
        <v>0</v>
      </c>
      <c r="U18" s="81">
        <f t="shared" si="6"/>
        <v>-1.3000000000000008E-3</v>
      </c>
      <c r="V18" s="83">
        <f t="shared" si="7"/>
        <v>1.8200000000000049E-2</v>
      </c>
    </row>
    <row r="19" spans="1:22" ht="12.75" customHeight="1">
      <c r="A19" s="133">
        <v>14</v>
      </c>
      <c r="B19" s="119" t="s">
        <v>41</v>
      </c>
      <c r="C19" s="120" t="s">
        <v>42</v>
      </c>
      <c r="D19" s="2">
        <v>522125803.44999999</v>
      </c>
      <c r="E19" s="3">
        <f t="shared" si="0"/>
        <v>2.2698316882407973E-2</v>
      </c>
      <c r="F19" s="4">
        <v>5095.63</v>
      </c>
      <c r="G19" s="4">
        <v>5159.0200000000004</v>
      </c>
      <c r="H19" s="60">
        <v>1135</v>
      </c>
      <c r="I19" s="5">
        <v>5.1000000000000004E-3</v>
      </c>
      <c r="J19" s="5">
        <v>0.5756</v>
      </c>
      <c r="K19" s="2">
        <v>527217832.16000003</v>
      </c>
      <c r="L19" s="3">
        <f t="shared" si="2"/>
        <v>2.2860757415098611E-2</v>
      </c>
      <c r="M19" s="4">
        <v>5145.2</v>
      </c>
      <c r="N19" s="4">
        <v>5209.41</v>
      </c>
      <c r="O19" s="60">
        <v>1135</v>
      </c>
      <c r="P19" s="5">
        <v>9.7999999999999997E-3</v>
      </c>
      <c r="Q19" s="5">
        <v>0.59099999999999997</v>
      </c>
      <c r="R19" s="80">
        <f t="shared" si="3"/>
        <v>9.7524938939120304E-3</v>
      </c>
      <c r="S19" s="80">
        <f t="shared" si="4"/>
        <v>9.7673589170035029E-3</v>
      </c>
      <c r="T19" s="80">
        <f t="shared" si="5"/>
        <v>0</v>
      </c>
      <c r="U19" s="81">
        <f t="shared" si="6"/>
        <v>4.6999999999999993E-3</v>
      </c>
      <c r="V19" s="83">
        <f t="shared" si="7"/>
        <v>1.5399999999999969E-2</v>
      </c>
    </row>
    <row r="20" spans="1:22">
      <c r="A20" s="133">
        <v>15</v>
      </c>
      <c r="B20" s="119" t="s">
        <v>43</v>
      </c>
      <c r="C20" s="120" t="s">
        <v>42</v>
      </c>
      <c r="D20" s="4">
        <v>10103768736.030001</v>
      </c>
      <c r="E20" s="3">
        <f t="shared" si="0"/>
        <v>0.43924001258240369</v>
      </c>
      <c r="F20" s="4">
        <v>17330.96</v>
      </c>
      <c r="G20" s="4">
        <v>17544.87</v>
      </c>
      <c r="H20" s="60">
        <v>29441</v>
      </c>
      <c r="I20" s="5">
        <v>-8.0000000000000004E-4</v>
      </c>
      <c r="J20" s="5">
        <v>0.41810000000000003</v>
      </c>
      <c r="K20" s="4">
        <v>10168276150.129999</v>
      </c>
      <c r="L20" s="3">
        <f t="shared" si="2"/>
        <v>0.4409078756791926</v>
      </c>
      <c r="M20" s="4">
        <v>17398.009999999998</v>
      </c>
      <c r="N20" s="4">
        <v>17612.27</v>
      </c>
      <c r="O20" s="60">
        <v>29454</v>
      </c>
      <c r="P20" s="5">
        <v>3.8E-3</v>
      </c>
      <c r="Q20" s="5">
        <v>0.42359999999999998</v>
      </c>
      <c r="R20" s="80">
        <f t="shared" si="3"/>
        <v>6.3844903605092705E-3</v>
      </c>
      <c r="S20" s="80">
        <f t="shared" si="4"/>
        <v>3.8415787634790946E-3</v>
      </c>
      <c r="T20" s="80">
        <f t="shared" si="5"/>
        <v>4.4156108827825144E-4</v>
      </c>
      <c r="U20" s="81">
        <f t="shared" si="6"/>
        <v>4.5999999999999999E-3</v>
      </c>
      <c r="V20" s="83">
        <f t="shared" si="7"/>
        <v>5.4999999999999494E-3</v>
      </c>
    </row>
    <row r="21" spans="1:22">
      <c r="A21" s="129">
        <v>16</v>
      </c>
      <c r="B21" s="120" t="s">
        <v>44</v>
      </c>
      <c r="C21" s="120" t="s">
        <v>45</v>
      </c>
      <c r="D21" s="4">
        <v>2579981740.7800002</v>
      </c>
      <c r="E21" s="3">
        <f t="shared" si="0"/>
        <v>0.1121592587765277</v>
      </c>
      <c r="F21" s="4">
        <v>1.2665999999999999</v>
      </c>
      <c r="G21" s="8">
        <v>1.2794000000000001</v>
      </c>
      <c r="H21" s="60">
        <v>3473</v>
      </c>
      <c r="I21" s="5">
        <v>4.7000000000000002E-3</v>
      </c>
      <c r="J21" s="5">
        <v>0.38679999999999998</v>
      </c>
      <c r="K21" s="4">
        <v>2586733136.8099999</v>
      </c>
      <c r="L21" s="3">
        <f t="shared" si="2"/>
        <v>0.1121636544347087</v>
      </c>
      <c r="M21" s="4">
        <v>1.2862</v>
      </c>
      <c r="N21" s="8">
        <v>1.2995000000000001</v>
      </c>
      <c r="O21" s="60">
        <v>3488</v>
      </c>
      <c r="P21" s="5">
        <v>1.5699999999999999E-2</v>
      </c>
      <c r="Q21" s="5">
        <v>0.43859999999999999</v>
      </c>
      <c r="R21" s="80">
        <f t="shared" si="3"/>
        <v>2.6168386866019439E-3</v>
      </c>
      <c r="S21" s="80">
        <f t="shared" si="4"/>
        <v>1.5710489291855562E-2</v>
      </c>
      <c r="T21" s="80">
        <f t="shared" si="5"/>
        <v>4.3190325367117761E-3</v>
      </c>
      <c r="U21" s="81">
        <f t="shared" si="6"/>
        <v>1.0999999999999999E-2</v>
      </c>
      <c r="V21" s="83">
        <f t="shared" si="7"/>
        <v>5.1800000000000013E-2</v>
      </c>
    </row>
    <row r="22" spans="1:22">
      <c r="A22" s="75"/>
      <c r="B22" s="19"/>
      <c r="C22" s="71" t="s">
        <v>46</v>
      </c>
      <c r="D22" s="58">
        <f>SUM(D6:D21)</f>
        <v>23002842288.0406</v>
      </c>
      <c r="E22" s="104">
        <f>(D22/$D$177)</f>
        <v>1.0848444324189112E-2</v>
      </c>
      <c r="F22" s="30"/>
      <c r="G22" s="31"/>
      <c r="H22" s="65">
        <f>SUM(H6:H21)</f>
        <v>61375</v>
      </c>
      <c r="I22" s="28"/>
      <c r="J22" s="60">
        <v>0</v>
      </c>
      <c r="K22" s="58">
        <f>SUM(K6:K21)</f>
        <v>23062133182.5075</v>
      </c>
      <c r="L22" s="104">
        <f>(K22/$K$177)</f>
        <v>1.0241230183877074E-2</v>
      </c>
      <c r="M22" s="30"/>
      <c r="N22" s="31"/>
      <c r="O22" s="65">
        <f>SUM(O6:O21)</f>
        <v>61426</v>
      </c>
      <c r="P22" s="28"/>
      <c r="Q22" s="65"/>
      <c r="R22" s="80">
        <f t="shared" si="3"/>
        <v>2.5775464494544563E-3</v>
      </c>
      <c r="S22" s="80" t="e">
        <f t="shared" si="4"/>
        <v>#DIV/0!</v>
      </c>
      <c r="T22" s="80">
        <f t="shared" si="5"/>
        <v>8.3095723014256614E-4</v>
      </c>
      <c r="U22" s="81">
        <f t="shared" si="6"/>
        <v>0</v>
      </c>
      <c r="V22" s="83">
        <f t="shared" si="7"/>
        <v>0</v>
      </c>
    </row>
    <row r="23" spans="1:22" ht="9" customHeight="1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1:22" ht="15" customHeight="1">
      <c r="A24" s="140" t="s">
        <v>47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</row>
    <row r="25" spans="1:22">
      <c r="A25" s="133">
        <v>17</v>
      </c>
      <c r="B25" s="119" t="s">
        <v>48</v>
      </c>
      <c r="C25" s="120" t="s">
        <v>17</v>
      </c>
      <c r="D25" s="9">
        <v>914995836.98000002</v>
      </c>
      <c r="E25" s="3">
        <f>(D25/$K$55)</f>
        <v>1.0509609690989834E-3</v>
      </c>
      <c r="F25" s="8">
        <v>100</v>
      </c>
      <c r="G25" s="8">
        <v>100</v>
      </c>
      <c r="H25" s="60">
        <v>741</v>
      </c>
      <c r="I25" s="5">
        <v>9.7500000000000003E-2</v>
      </c>
      <c r="J25" s="5">
        <v>9.7500000000000003E-2</v>
      </c>
      <c r="K25" s="9">
        <v>974844227.32000005</v>
      </c>
      <c r="L25" s="3">
        <f t="shared" ref="L25:L54" si="8">(K25/$K$55)</f>
        <v>1.1197026177149384E-3</v>
      </c>
      <c r="M25" s="8">
        <v>100</v>
      </c>
      <c r="N25" s="8">
        <v>100</v>
      </c>
      <c r="O25" s="60">
        <v>747</v>
      </c>
      <c r="P25" s="5">
        <v>7.5499999999999998E-2</v>
      </c>
      <c r="Q25" s="5">
        <v>7.5499999999999998E-2</v>
      </c>
      <c r="R25" s="80">
        <f t="shared" ref="R25" si="9">((K25-D25)/D25)</f>
        <v>6.5408374465979344E-2</v>
      </c>
      <c r="S25" s="80">
        <f t="shared" ref="S25" si="10">((N25-G25)/G25)</f>
        <v>0</v>
      </c>
      <c r="T25" s="80">
        <f t="shared" ref="T25" si="11">((O25-H25)/H25)</f>
        <v>8.0971659919028341E-3</v>
      </c>
      <c r="U25" s="81">
        <f t="shared" ref="U25" si="12">P25-I25</f>
        <v>-2.2000000000000006E-2</v>
      </c>
      <c r="V25" s="83">
        <f t="shared" ref="V25" si="13">Q25-J25</f>
        <v>-2.2000000000000006E-2</v>
      </c>
    </row>
    <row r="26" spans="1:22">
      <c r="A26" s="125">
        <v>18</v>
      </c>
      <c r="B26" s="119" t="s">
        <v>49</v>
      </c>
      <c r="C26" s="120" t="s">
        <v>50</v>
      </c>
      <c r="D26" s="9">
        <v>4395917009.7700005</v>
      </c>
      <c r="E26" s="3">
        <f t="shared" ref="E26:E54" si="14">(D26/$K$55)</f>
        <v>5.0491346670111332E-3</v>
      </c>
      <c r="F26" s="8">
        <v>100</v>
      </c>
      <c r="G26" s="8">
        <v>100</v>
      </c>
      <c r="H26" s="60">
        <v>1148</v>
      </c>
      <c r="I26" s="5">
        <v>0.130357</v>
      </c>
      <c r="J26" s="5">
        <v>0.130357</v>
      </c>
      <c r="K26" s="9">
        <v>4579821950.8000002</v>
      </c>
      <c r="L26" s="3">
        <f t="shared" si="8"/>
        <v>5.2603672292104347E-3</v>
      </c>
      <c r="M26" s="8">
        <v>100</v>
      </c>
      <c r="N26" s="8">
        <v>100</v>
      </c>
      <c r="O26" s="60">
        <v>1151</v>
      </c>
      <c r="P26" s="5">
        <v>0.139538</v>
      </c>
      <c r="Q26" s="5">
        <v>0.139538</v>
      </c>
      <c r="R26" s="80">
        <f t="shared" ref="R26:R55" si="15">((K26-D26)/D26)</f>
        <v>4.1835398762366957E-2</v>
      </c>
      <c r="S26" s="80">
        <f t="shared" ref="S26:S55" si="16">((N26-G26)/G26)</f>
        <v>0</v>
      </c>
      <c r="T26" s="80">
        <f t="shared" ref="T26:T55" si="17">((O26-H26)/H26)</f>
        <v>2.6132404181184671E-3</v>
      </c>
      <c r="U26" s="81">
        <f t="shared" ref="U26:U55" si="18">P26-I26</f>
        <v>9.1809999999999947E-3</v>
      </c>
      <c r="V26" s="83">
        <f t="shared" ref="V26:V55" si="19">Q26-J26</f>
        <v>9.1809999999999947E-3</v>
      </c>
    </row>
    <row r="27" spans="1:22">
      <c r="A27" s="125">
        <v>19</v>
      </c>
      <c r="B27" s="119" t="s">
        <v>51</v>
      </c>
      <c r="C27" s="120" t="s">
        <v>19</v>
      </c>
      <c r="D27" s="9">
        <v>375434730.52999997</v>
      </c>
      <c r="E27" s="3">
        <f t="shared" si="14"/>
        <v>4.3122299827452542E-4</v>
      </c>
      <c r="F27" s="8">
        <v>100</v>
      </c>
      <c r="G27" s="8">
        <v>100</v>
      </c>
      <c r="H27" s="60">
        <v>1339</v>
      </c>
      <c r="I27" s="5">
        <v>9.4600000000000004E-2</v>
      </c>
      <c r="J27" s="5">
        <v>9.4600000000000004E-2</v>
      </c>
      <c r="K27" s="9">
        <v>379401128.35000002</v>
      </c>
      <c r="L27" s="3">
        <f t="shared" si="8"/>
        <v>4.3577878872543924E-4</v>
      </c>
      <c r="M27" s="8">
        <v>100</v>
      </c>
      <c r="N27" s="8">
        <v>100</v>
      </c>
      <c r="O27" s="60">
        <v>1344</v>
      </c>
      <c r="P27" s="5">
        <v>9.7000000000000003E-2</v>
      </c>
      <c r="Q27" s="5">
        <v>9.7000000000000003E-2</v>
      </c>
      <c r="R27" s="80">
        <f t="shared" si="15"/>
        <v>1.0564813261683867E-2</v>
      </c>
      <c r="S27" s="80">
        <f t="shared" si="16"/>
        <v>0</v>
      </c>
      <c r="T27" s="80">
        <f t="shared" si="17"/>
        <v>3.7341299477221808E-3</v>
      </c>
      <c r="U27" s="81">
        <f t="shared" si="18"/>
        <v>2.3999999999999994E-3</v>
      </c>
      <c r="V27" s="83">
        <f t="shared" si="19"/>
        <v>2.3999999999999994E-3</v>
      </c>
    </row>
    <row r="28" spans="1:22">
      <c r="A28" s="125">
        <v>20</v>
      </c>
      <c r="B28" s="119" t="s">
        <v>52</v>
      </c>
      <c r="C28" s="120" t="s">
        <v>21</v>
      </c>
      <c r="D28" s="9">
        <v>80482149231.800003</v>
      </c>
      <c r="E28" s="3">
        <f t="shared" si="14"/>
        <v>9.2441510806207494E-2</v>
      </c>
      <c r="F28" s="8">
        <v>1</v>
      </c>
      <c r="G28" s="8">
        <v>1</v>
      </c>
      <c r="H28" s="60">
        <v>54852</v>
      </c>
      <c r="I28" s="5">
        <v>0.105</v>
      </c>
      <c r="J28" s="5">
        <v>0.105</v>
      </c>
      <c r="K28" s="9">
        <v>79650125431.619995</v>
      </c>
      <c r="L28" s="3">
        <f t="shared" si="8"/>
        <v>9.148585122393367E-2</v>
      </c>
      <c r="M28" s="8">
        <v>1</v>
      </c>
      <c r="N28" s="8">
        <v>1</v>
      </c>
      <c r="O28" s="60">
        <v>54714</v>
      </c>
      <c r="P28" s="5">
        <v>0.1075</v>
      </c>
      <c r="Q28" s="5">
        <v>0.1075</v>
      </c>
      <c r="R28" s="80">
        <f t="shared" si="15"/>
        <v>-1.0337991817088053E-2</v>
      </c>
      <c r="S28" s="80">
        <f t="shared" si="16"/>
        <v>0</v>
      </c>
      <c r="T28" s="80">
        <f t="shared" si="17"/>
        <v>-2.5158608619558083E-3</v>
      </c>
      <c r="U28" s="81">
        <f t="shared" si="18"/>
        <v>2.5000000000000022E-3</v>
      </c>
      <c r="V28" s="83">
        <f t="shared" si="19"/>
        <v>2.5000000000000022E-3</v>
      </c>
    </row>
    <row r="29" spans="1:22">
      <c r="A29" s="125">
        <v>21</v>
      </c>
      <c r="B29" s="119" t="s">
        <v>53</v>
      </c>
      <c r="C29" s="120" t="s">
        <v>23</v>
      </c>
      <c r="D29" s="9">
        <v>42166990322.220001</v>
      </c>
      <c r="E29" s="3">
        <f t="shared" si="14"/>
        <v>4.8432855344233056E-2</v>
      </c>
      <c r="F29" s="8">
        <v>1</v>
      </c>
      <c r="G29" s="8">
        <v>1</v>
      </c>
      <c r="H29" s="60">
        <v>26191</v>
      </c>
      <c r="I29" s="5">
        <v>0.113</v>
      </c>
      <c r="J29" s="5">
        <v>0.113</v>
      </c>
      <c r="K29" s="9">
        <v>43332103828.559998</v>
      </c>
      <c r="L29" s="3">
        <f t="shared" si="8"/>
        <v>4.9771100580162105E-2</v>
      </c>
      <c r="M29" s="8">
        <v>1</v>
      </c>
      <c r="N29" s="8">
        <v>1</v>
      </c>
      <c r="O29" s="60">
        <v>26207</v>
      </c>
      <c r="P29" s="5">
        <v>0.11600000000000001</v>
      </c>
      <c r="Q29" s="5">
        <v>0.11600000000000001</v>
      </c>
      <c r="R29" s="80">
        <f t="shared" si="15"/>
        <v>2.76309382632423E-2</v>
      </c>
      <c r="S29" s="80">
        <f t="shared" si="16"/>
        <v>0</v>
      </c>
      <c r="T29" s="80">
        <f t="shared" si="17"/>
        <v>6.1089687297163149E-4</v>
      </c>
      <c r="U29" s="81">
        <f t="shared" si="18"/>
        <v>3.0000000000000027E-3</v>
      </c>
      <c r="V29" s="83">
        <f t="shared" si="19"/>
        <v>3.0000000000000027E-3</v>
      </c>
    </row>
    <row r="30" spans="1:22" ht="15" customHeight="1">
      <c r="A30" s="125">
        <v>22</v>
      </c>
      <c r="B30" s="119" t="s">
        <v>54</v>
      </c>
      <c r="C30" s="120" t="s">
        <v>40</v>
      </c>
      <c r="D30" s="9">
        <v>6987214061.2799997</v>
      </c>
      <c r="E30" s="3">
        <f t="shared" si="14"/>
        <v>8.0254892583794153E-3</v>
      </c>
      <c r="F30" s="8">
        <v>100</v>
      </c>
      <c r="G30" s="8">
        <v>100</v>
      </c>
      <c r="H30" s="60">
        <v>2705</v>
      </c>
      <c r="I30" s="5">
        <v>9.9199999999999997E-2</v>
      </c>
      <c r="J30" s="5">
        <v>9.9199999999999997E-2</v>
      </c>
      <c r="K30" s="9">
        <v>7715161206.2600002</v>
      </c>
      <c r="L30" s="3">
        <f t="shared" si="8"/>
        <v>8.8616067640787787E-3</v>
      </c>
      <c r="M30" s="8">
        <v>100</v>
      </c>
      <c r="N30" s="8">
        <v>100</v>
      </c>
      <c r="O30" s="60">
        <v>2705</v>
      </c>
      <c r="P30" s="5">
        <v>0.1021</v>
      </c>
      <c r="Q30" s="5">
        <v>0.1021</v>
      </c>
      <c r="R30" s="80">
        <f t="shared" si="15"/>
        <v>0.1041827455972698</v>
      </c>
      <c r="S30" s="80">
        <f t="shared" si="16"/>
        <v>0</v>
      </c>
      <c r="T30" s="80">
        <f t="shared" si="17"/>
        <v>0</v>
      </c>
      <c r="U30" s="81">
        <f t="shared" si="18"/>
        <v>2.8999999999999998E-3</v>
      </c>
      <c r="V30" s="83">
        <f t="shared" si="19"/>
        <v>2.8999999999999998E-3</v>
      </c>
    </row>
    <row r="31" spans="1:22">
      <c r="A31" s="132">
        <v>23</v>
      </c>
      <c r="B31" s="119" t="s">
        <v>55</v>
      </c>
      <c r="C31" s="120" t="s">
        <v>56</v>
      </c>
      <c r="D31" s="9">
        <v>12407249048.26</v>
      </c>
      <c r="E31" s="3">
        <f t="shared" si="14"/>
        <v>1.4250922197252346E-2</v>
      </c>
      <c r="F31" s="8">
        <v>100</v>
      </c>
      <c r="G31" s="8">
        <v>100</v>
      </c>
      <c r="H31" s="60">
        <v>1827</v>
      </c>
      <c r="I31" s="5">
        <v>0.117725623538264</v>
      </c>
      <c r="J31" s="5">
        <v>0.117725623538264</v>
      </c>
      <c r="K31" s="9">
        <v>12285580703.58</v>
      </c>
      <c r="L31" s="3">
        <f t="shared" si="8"/>
        <v>1.4111174368611288E-2</v>
      </c>
      <c r="M31" s="8">
        <v>100</v>
      </c>
      <c r="N31" s="8">
        <v>100</v>
      </c>
      <c r="O31" s="60">
        <v>1829</v>
      </c>
      <c r="P31" s="5">
        <v>0.117440427791112</v>
      </c>
      <c r="Q31" s="5">
        <v>0.117440427791112</v>
      </c>
      <c r="R31" s="80">
        <f t="shared" si="15"/>
        <v>-9.806230551732428E-3</v>
      </c>
      <c r="S31" s="80">
        <f t="shared" si="16"/>
        <v>0</v>
      </c>
      <c r="T31" s="80">
        <f t="shared" si="17"/>
        <v>1.0946907498631637E-3</v>
      </c>
      <c r="U31" s="81">
        <f t="shared" si="18"/>
        <v>-2.851957471520089E-4</v>
      </c>
      <c r="V31" s="83">
        <f t="shared" si="19"/>
        <v>-2.851957471520089E-4</v>
      </c>
    </row>
    <row r="32" spans="1:22">
      <c r="A32" s="125">
        <v>24</v>
      </c>
      <c r="B32" s="119" t="s">
        <v>57</v>
      </c>
      <c r="C32" s="120" t="s">
        <v>58</v>
      </c>
      <c r="D32" s="9">
        <v>5341336697.8400002</v>
      </c>
      <c r="E32" s="3">
        <f t="shared" si="14"/>
        <v>6.1350403634334695E-3</v>
      </c>
      <c r="F32" s="8">
        <v>100</v>
      </c>
      <c r="G32" s="8">
        <v>100</v>
      </c>
      <c r="H32" s="60">
        <v>5690</v>
      </c>
      <c r="I32" s="5">
        <v>0.1017</v>
      </c>
      <c r="J32" s="5">
        <v>0.1017</v>
      </c>
      <c r="K32" s="9">
        <v>5170907682.8400002</v>
      </c>
      <c r="L32" s="3">
        <f t="shared" si="8"/>
        <v>5.9392862020176511E-3</v>
      </c>
      <c r="M32" s="8">
        <v>100</v>
      </c>
      <c r="N32" s="8">
        <v>100</v>
      </c>
      <c r="O32" s="60">
        <v>5699</v>
      </c>
      <c r="P32" s="5">
        <v>9.5799999999999996E-2</v>
      </c>
      <c r="Q32" s="5">
        <v>9.5799999999999996E-2</v>
      </c>
      <c r="R32" s="80">
        <f t="shared" si="15"/>
        <v>-3.1907558845507777E-2</v>
      </c>
      <c r="S32" s="80">
        <f t="shared" si="16"/>
        <v>0</v>
      </c>
      <c r="T32" s="80">
        <f t="shared" si="17"/>
        <v>1.5817223198594025E-3</v>
      </c>
      <c r="U32" s="81">
        <f t="shared" si="18"/>
        <v>-5.9000000000000025E-3</v>
      </c>
      <c r="V32" s="83">
        <f t="shared" si="19"/>
        <v>-5.9000000000000025E-3</v>
      </c>
    </row>
    <row r="33" spans="1:22">
      <c r="A33" s="136">
        <v>25</v>
      </c>
      <c r="B33" s="119" t="s">
        <v>59</v>
      </c>
      <c r="C33" s="120" t="s">
        <v>60</v>
      </c>
      <c r="D33" s="9">
        <v>44514190.369999997</v>
      </c>
      <c r="E33" s="3">
        <f t="shared" si="14"/>
        <v>5.1128840983933801E-5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5.1128840983933801E-5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15"/>
        <v>0</v>
      </c>
      <c r="S33" s="80">
        <f t="shared" si="16"/>
        <v>0</v>
      </c>
      <c r="T33" s="80" t="e">
        <f t="shared" si="17"/>
        <v>#DIV/0!</v>
      </c>
      <c r="U33" s="81">
        <f t="shared" si="18"/>
        <v>0</v>
      </c>
      <c r="V33" s="83">
        <f t="shared" si="19"/>
        <v>0</v>
      </c>
    </row>
    <row r="34" spans="1:22">
      <c r="A34" s="131">
        <v>26</v>
      </c>
      <c r="B34" s="119" t="s">
        <v>61</v>
      </c>
      <c r="C34" s="120" t="s">
        <v>62</v>
      </c>
      <c r="D34" s="9">
        <v>5257758656.5299997</v>
      </c>
      <c r="E34" s="3">
        <f t="shared" si="14"/>
        <v>6.0390429219801126E-3</v>
      </c>
      <c r="F34" s="8">
        <v>1</v>
      </c>
      <c r="G34" s="8">
        <v>1</v>
      </c>
      <c r="H34" s="60">
        <v>2033</v>
      </c>
      <c r="I34" s="5">
        <v>0.1066</v>
      </c>
      <c r="J34" s="5">
        <v>0.1066</v>
      </c>
      <c r="K34" s="9">
        <v>5646181567.3800001</v>
      </c>
      <c r="L34" s="3">
        <f t="shared" si="8"/>
        <v>6.4851840980476574E-3</v>
      </c>
      <c r="M34" s="8">
        <v>1</v>
      </c>
      <c r="N34" s="8">
        <v>1</v>
      </c>
      <c r="O34" s="60">
        <v>2068</v>
      </c>
      <c r="P34" s="5">
        <v>0.1061</v>
      </c>
      <c r="Q34" s="5">
        <v>0.1061</v>
      </c>
      <c r="R34" s="80">
        <f t="shared" si="15"/>
        <v>7.387613928752497E-2</v>
      </c>
      <c r="S34" s="80">
        <f t="shared" si="16"/>
        <v>0</v>
      </c>
      <c r="T34" s="80">
        <f t="shared" si="17"/>
        <v>1.721593703885883E-2</v>
      </c>
      <c r="U34" s="81">
        <f t="shared" si="18"/>
        <v>-5.0000000000000044E-4</v>
      </c>
      <c r="V34" s="83">
        <f t="shared" si="19"/>
        <v>-5.0000000000000044E-4</v>
      </c>
    </row>
    <row r="35" spans="1:22">
      <c r="A35" s="136">
        <v>27</v>
      </c>
      <c r="B35" s="119" t="s">
        <v>63</v>
      </c>
      <c r="C35" s="120" t="s">
        <v>64</v>
      </c>
      <c r="D35" s="9">
        <v>14237275731.799999</v>
      </c>
      <c r="E35" s="3">
        <f t="shared" si="14"/>
        <v>1.6352884347329576E-2</v>
      </c>
      <c r="F35" s="11">
        <v>100</v>
      </c>
      <c r="G35" s="11">
        <v>100</v>
      </c>
      <c r="H35" s="60">
        <v>2611</v>
      </c>
      <c r="I35" s="5">
        <v>0.1019</v>
      </c>
      <c r="J35" s="5">
        <v>0.1019</v>
      </c>
      <c r="K35" s="9">
        <v>14071705180.35</v>
      </c>
      <c r="L35" s="3">
        <f t="shared" si="8"/>
        <v>1.6162710599894322E-2</v>
      </c>
      <c r="M35" s="11">
        <v>100</v>
      </c>
      <c r="N35" s="11">
        <v>100</v>
      </c>
      <c r="O35" s="60">
        <v>2604</v>
      </c>
      <c r="P35" s="5">
        <v>0.1</v>
      </c>
      <c r="Q35" s="5">
        <v>0.1</v>
      </c>
      <c r="R35" s="80">
        <f t="shared" si="15"/>
        <v>-1.1629370293095111E-2</v>
      </c>
      <c r="S35" s="80">
        <f t="shared" si="16"/>
        <v>0</v>
      </c>
      <c r="T35" s="80">
        <f t="shared" si="17"/>
        <v>-2.6809651474530832E-3</v>
      </c>
      <c r="U35" s="81">
        <f t="shared" si="18"/>
        <v>-1.8999999999999989E-3</v>
      </c>
      <c r="V35" s="83">
        <f t="shared" si="19"/>
        <v>-1.8999999999999989E-3</v>
      </c>
    </row>
    <row r="36" spans="1:22">
      <c r="A36" s="136">
        <v>28</v>
      </c>
      <c r="B36" s="119" t="s">
        <v>65</v>
      </c>
      <c r="C36" s="120" t="s">
        <v>64</v>
      </c>
      <c r="D36" s="9">
        <v>1315207204.51</v>
      </c>
      <c r="E36" s="3">
        <f t="shared" si="14"/>
        <v>1.5106423246469998E-3</v>
      </c>
      <c r="F36" s="11">
        <v>1000000</v>
      </c>
      <c r="G36" s="11">
        <v>1000000</v>
      </c>
      <c r="H36" s="60">
        <v>7</v>
      </c>
      <c r="I36" s="5">
        <v>9.11E-2</v>
      </c>
      <c r="J36" s="5">
        <v>9.11E-2</v>
      </c>
      <c r="K36" s="9">
        <v>1317609663.03</v>
      </c>
      <c r="L36" s="3">
        <f t="shared" si="8"/>
        <v>1.5134017799716634E-3</v>
      </c>
      <c r="M36" s="11">
        <v>1000000</v>
      </c>
      <c r="N36" s="11">
        <v>1000000</v>
      </c>
      <c r="O36" s="60">
        <v>9</v>
      </c>
      <c r="P36" s="5">
        <v>0.1037</v>
      </c>
      <c r="Q36" s="5">
        <v>0.1037</v>
      </c>
      <c r="R36" s="80">
        <f t="shared" si="15"/>
        <v>1.826676824580696E-3</v>
      </c>
      <c r="S36" s="80">
        <f t="shared" si="16"/>
        <v>0</v>
      </c>
      <c r="T36" s="80">
        <f t="shared" si="17"/>
        <v>0.2857142857142857</v>
      </c>
      <c r="U36" s="81">
        <f t="shared" si="18"/>
        <v>1.26E-2</v>
      </c>
      <c r="V36" s="83">
        <f t="shared" si="19"/>
        <v>1.26E-2</v>
      </c>
    </row>
    <row r="37" spans="1:22">
      <c r="A37" s="137">
        <v>29</v>
      </c>
      <c r="B37" s="119" t="s">
        <v>66</v>
      </c>
      <c r="C37" s="120" t="s">
        <v>67</v>
      </c>
      <c r="D37" s="9">
        <v>3414852094.4400001</v>
      </c>
      <c r="E37" s="3">
        <f t="shared" si="14"/>
        <v>3.9222869891382926E-3</v>
      </c>
      <c r="F37" s="8">
        <v>1</v>
      </c>
      <c r="G37" s="8">
        <v>1</v>
      </c>
      <c r="H37" s="60">
        <v>424</v>
      </c>
      <c r="I37" s="5">
        <v>0.1326</v>
      </c>
      <c r="J37" s="5">
        <v>0.1326</v>
      </c>
      <c r="K37" s="9">
        <v>3525362653.5100002</v>
      </c>
      <c r="L37" s="3">
        <f t="shared" si="8"/>
        <v>4.0492190248502934E-3</v>
      </c>
      <c r="M37" s="8">
        <v>1</v>
      </c>
      <c r="N37" s="8">
        <v>1</v>
      </c>
      <c r="O37" s="60">
        <v>425</v>
      </c>
      <c r="P37" s="5">
        <v>0.13469999999999999</v>
      </c>
      <c r="Q37" s="5">
        <v>0.13469999999999999</v>
      </c>
      <c r="R37" s="80">
        <f t="shared" si="15"/>
        <v>3.2361741010666745E-2</v>
      </c>
      <c r="S37" s="80">
        <f t="shared" si="16"/>
        <v>0</v>
      </c>
      <c r="T37" s="80">
        <f t="shared" si="17"/>
        <v>2.3584905660377358E-3</v>
      </c>
      <c r="U37" s="81">
        <f t="shared" si="18"/>
        <v>2.0999999999999908E-3</v>
      </c>
      <c r="V37" s="83">
        <f t="shared" si="19"/>
        <v>2.0999999999999908E-3</v>
      </c>
    </row>
    <row r="38" spans="1:22">
      <c r="A38" s="133">
        <v>30</v>
      </c>
      <c r="B38" s="119" t="s">
        <v>68</v>
      </c>
      <c r="C38" s="120" t="s">
        <v>27</v>
      </c>
      <c r="D38" s="9">
        <v>194332771605.62</v>
      </c>
      <c r="E38" s="3">
        <f t="shared" si="14"/>
        <v>0.22320993136802436</v>
      </c>
      <c r="F38" s="8">
        <v>100</v>
      </c>
      <c r="G38" s="8">
        <v>100</v>
      </c>
      <c r="H38" s="60">
        <v>15033</v>
      </c>
      <c r="I38" s="5">
        <v>0.10920000000000001</v>
      </c>
      <c r="J38" s="5">
        <v>0.10920000000000001</v>
      </c>
      <c r="K38" s="9">
        <v>194029687386.57001</v>
      </c>
      <c r="L38" s="3">
        <f t="shared" si="8"/>
        <v>0.22286180991031074</v>
      </c>
      <c r="M38" s="8">
        <v>100</v>
      </c>
      <c r="N38" s="8">
        <v>100</v>
      </c>
      <c r="O38" s="60">
        <v>15051</v>
      </c>
      <c r="P38" s="5">
        <v>0.11219999999999999</v>
      </c>
      <c r="Q38" s="5">
        <v>0.11219999999999999</v>
      </c>
      <c r="R38" s="80">
        <f t="shared" si="15"/>
        <v>-1.5596145546931661E-3</v>
      </c>
      <c r="S38" s="80">
        <f t="shared" si="16"/>
        <v>0</v>
      </c>
      <c r="T38" s="80">
        <f t="shared" si="17"/>
        <v>1.197365795250449E-3</v>
      </c>
      <c r="U38" s="81">
        <f t="shared" si="18"/>
        <v>2.9999999999999888E-3</v>
      </c>
      <c r="V38" s="83">
        <f t="shared" si="19"/>
        <v>2.9999999999999888E-3</v>
      </c>
    </row>
    <row r="39" spans="1:22">
      <c r="A39" s="136">
        <v>31</v>
      </c>
      <c r="B39" s="119" t="s">
        <v>69</v>
      </c>
      <c r="C39" s="120" t="s">
        <v>70</v>
      </c>
      <c r="D39" s="9">
        <v>273538391.76999998</v>
      </c>
      <c r="E39" s="3">
        <f t="shared" si="14"/>
        <v>3.1418522542049588E-4</v>
      </c>
      <c r="F39" s="8">
        <v>1</v>
      </c>
      <c r="G39" s="8">
        <v>1</v>
      </c>
      <c r="H39" s="61">
        <v>435</v>
      </c>
      <c r="I39" s="12">
        <v>0.15840000000000001</v>
      </c>
      <c r="J39" s="12">
        <v>0.15840000000000001</v>
      </c>
      <c r="K39" s="9">
        <v>273936081.60000002</v>
      </c>
      <c r="L39" s="3">
        <f t="shared" si="8"/>
        <v>3.1464201054699125E-4</v>
      </c>
      <c r="M39" s="8">
        <v>1</v>
      </c>
      <c r="N39" s="8">
        <v>1</v>
      </c>
      <c r="O39" s="61">
        <v>435</v>
      </c>
      <c r="P39" s="12">
        <v>6.6299999999999998E-2</v>
      </c>
      <c r="Q39" s="12">
        <v>6.6299999999999998E-2</v>
      </c>
      <c r="R39" s="80">
        <f t="shared" si="15"/>
        <v>1.4538720777975236E-3</v>
      </c>
      <c r="S39" s="80">
        <f t="shared" si="16"/>
        <v>0</v>
      </c>
      <c r="T39" s="80">
        <f t="shared" si="17"/>
        <v>0</v>
      </c>
      <c r="U39" s="81">
        <f t="shared" si="18"/>
        <v>-9.2100000000000015E-2</v>
      </c>
      <c r="V39" s="83">
        <f t="shared" si="19"/>
        <v>-9.2100000000000015E-2</v>
      </c>
    </row>
    <row r="40" spans="1:22">
      <c r="A40" s="134">
        <v>32</v>
      </c>
      <c r="B40" s="119" t="s">
        <v>71</v>
      </c>
      <c r="C40" s="120" t="s">
        <v>72</v>
      </c>
      <c r="D40" s="9">
        <v>688169730.02999997</v>
      </c>
      <c r="E40" s="3">
        <f t="shared" si="14"/>
        <v>7.9042930814200328E-4</v>
      </c>
      <c r="F40" s="8">
        <v>10</v>
      </c>
      <c r="G40" s="8">
        <v>10</v>
      </c>
      <c r="H40" s="60">
        <v>297</v>
      </c>
      <c r="I40" s="5">
        <v>0.1046</v>
      </c>
      <c r="J40" s="5">
        <v>0.109</v>
      </c>
      <c r="K40" s="9">
        <v>639800758.90999997</v>
      </c>
      <c r="L40" s="3">
        <f t="shared" si="8"/>
        <v>7.3487287967739258E-4</v>
      </c>
      <c r="M40" s="8">
        <v>10</v>
      </c>
      <c r="N40" s="8">
        <v>10</v>
      </c>
      <c r="O40" s="60">
        <v>290</v>
      </c>
      <c r="P40" s="5">
        <v>0.1114</v>
      </c>
      <c r="Q40" s="5">
        <v>0.1114</v>
      </c>
      <c r="R40" s="80">
        <f t="shared" si="15"/>
        <v>-7.0286397394856953E-2</v>
      </c>
      <c r="S40" s="80">
        <f t="shared" si="16"/>
        <v>0</v>
      </c>
      <c r="T40" s="80">
        <f t="shared" si="17"/>
        <v>-2.3569023569023569E-2</v>
      </c>
      <c r="U40" s="81">
        <f t="shared" si="18"/>
        <v>6.8000000000000005E-3</v>
      </c>
      <c r="V40" s="83">
        <f t="shared" si="19"/>
        <v>2.3999999999999994E-3</v>
      </c>
    </row>
    <row r="41" spans="1:22">
      <c r="A41" s="132">
        <v>33</v>
      </c>
      <c r="B41" s="119" t="s">
        <v>73</v>
      </c>
      <c r="C41" s="120" t="s">
        <v>74</v>
      </c>
      <c r="D41" s="9">
        <v>2912273395.3329883</v>
      </c>
      <c r="E41" s="3">
        <f t="shared" si="14"/>
        <v>3.3450268800591767E-3</v>
      </c>
      <c r="F41" s="8">
        <v>100</v>
      </c>
      <c r="G41" s="8">
        <v>100</v>
      </c>
      <c r="H41" s="60">
        <v>1242</v>
      </c>
      <c r="I41" s="5">
        <v>9.5399999999999999E-2</v>
      </c>
      <c r="J41" s="5">
        <v>9.5399999999999999E-2</v>
      </c>
      <c r="K41" s="9">
        <v>2909139562.6138248</v>
      </c>
      <c r="L41" s="3">
        <f t="shared" si="8"/>
        <v>3.3414273709265487E-3</v>
      </c>
      <c r="M41" s="8">
        <v>100</v>
      </c>
      <c r="N41" s="8">
        <v>100</v>
      </c>
      <c r="O41" s="60">
        <v>1242</v>
      </c>
      <c r="P41" s="5">
        <v>9.4700000000000006E-2</v>
      </c>
      <c r="Q41" s="5">
        <v>9.4700000000000006E-2</v>
      </c>
      <c r="R41" s="80">
        <f t="shared" si="15"/>
        <v>-1.076077790012945E-3</v>
      </c>
      <c r="S41" s="80">
        <f t="shared" si="16"/>
        <v>0</v>
      </c>
      <c r="T41" s="80">
        <f t="shared" si="17"/>
        <v>0</v>
      </c>
      <c r="U41" s="81">
        <f t="shared" si="18"/>
        <v>-6.999999999999923E-4</v>
      </c>
      <c r="V41" s="83">
        <f t="shared" si="19"/>
        <v>-6.999999999999923E-4</v>
      </c>
    </row>
    <row r="42" spans="1:22" ht="15.75" customHeight="1">
      <c r="A42" s="133">
        <v>34</v>
      </c>
      <c r="B42" s="119" t="s">
        <v>240</v>
      </c>
      <c r="C42" s="120" t="s">
        <v>32</v>
      </c>
      <c r="D42" s="9">
        <v>20807136817.915401</v>
      </c>
      <c r="E42" s="3">
        <f t="shared" si="14"/>
        <v>2.389900346050371E-2</v>
      </c>
      <c r="F42" s="8">
        <v>1</v>
      </c>
      <c r="G42" s="8">
        <v>1</v>
      </c>
      <c r="H42" s="60">
        <v>10939</v>
      </c>
      <c r="I42" s="5">
        <v>0.11502832502052415</v>
      </c>
      <c r="J42" s="5">
        <v>0.11502832502052415</v>
      </c>
      <c r="K42" s="9">
        <v>19735963215.802898</v>
      </c>
      <c r="L42" s="3">
        <f t="shared" si="8"/>
        <v>2.2668657264978877E-2</v>
      </c>
      <c r="M42" s="8">
        <v>1</v>
      </c>
      <c r="N42" s="8">
        <v>1</v>
      </c>
      <c r="O42" s="60">
        <v>10987</v>
      </c>
      <c r="P42" s="5">
        <v>0.11912024450008876</v>
      </c>
      <c r="Q42" s="5">
        <v>0.11912024450008876</v>
      </c>
      <c r="R42" s="80">
        <f t="shared" si="15"/>
        <v>-5.1481066880388802E-2</v>
      </c>
      <c r="S42" s="80">
        <f t="shared" si="16"/>
        <v>0</v>
      </c>
      <c r="T42" s="80">
        <f t="shared" si="17"/>
        <v>4.3879696498765886E-3</v>
      </c>
      <c r="U42" s="81">
        <f t="shared" si="18"/>
        <v>4.0919194795646097E-3</v>
      </c>
      <c r="V42" s="83">
        <f t="shared" si="19"/>
        <v>4.0919194795646097E-3</v>
      </c>
    </row>
    <row r="43" spans="1:22">
      <c r="A43" s="133">
        <v>35</v>
      </c>
      <c r="B43" s="119" t="s">
        <v>75</v>
      </c>
      <c r="C43" s="120" t="s">
        <v>34</v>
      </c>
      <c r="D43" s="9">
        <v>2930004548.5500002</v>
      </c>
      <c r="E43" s="3">
        <f t="shared" si="14"/>
        <v>3.3653928196788569E-3</v>
      </c>
      <c r="F43" s="8">
        <v>1</v>
      </c>
      <c r="G43" s="8">
        <v>1</v>
      </c>
      <c r="H43" s="60">
        <v>821</v>
      </c>
      <c r="I43" s="5">
        <v>7.8E-2</v>
      </c>
      <c r="J43" s="5">
        <v>7.8E-2</v>
      </c>
      <c r="K43" s="9">
        <v>3043135949.1900001</v>
      </c>
      <c r="L43" s="3">
        <f t="shared" si="8"/>
        <v>3.4953351447112478E-3</v>
      </c>
      <c r="M43" s="8">
        <v>1</v>
      </c>
      <c r="N43" s="8">
        <v>1</v>
      </c>
      <c r="O43" s="60">
        <v>821</v>
      </c>
      <c r="P43" s="5">
        <v>7.9100000000000004E-2</v>
      </c>
      <c r="Q43" s="5">
        <v>7.9100000000000004E-2</v>
      </c>
      <c r="R43" s="80">
        <f t="shared" si="15"/>
        <v>3.8611339595355336E-2</v>
      </c>
      <c r="S43" s="80">
        <f t="shared" si="16"/>
        <v>0</v>
      </c>
      <c r="T43" s="80">
        <f t="shared" si="17"/>
        <v>0</v>
      </c>
      <c r="U43" s="81">
        <f t="shared" si="18"/>
        <v>1.1000000000000038E-3</v>
      </c>
      <c r="V43" s="83">
        <f t="shared" si="19"/>
        <v>1.1000000000000038E-3</v>
      </c>
    </row>
    <row r="44" spans="1:22">
      <c r="A44" s="133">
        <v>36</v>
      </c>
      <c r="B44" s="119" t="s">
        <v>76</v>
      </c>
      <c r="C44" s="120" t="s">
        <v>36</v>
      </c>
      <c r="D44" s="13">
        <v>3485691817.3000002</v>
      </c>
      <c r="E44" s="3">
        <f t="shared" si="14"/>
        <v>4.0036532432552235E-3</v>
      </c>
      <c r="F44" s="8">
        <v>10</v>
      </c>
      <c r="G44" s="8">
        <v>10</v>
      </c>
      <c r="H44" s="60">
        <v>1886</v>
      </c>
      <c r="I44" s="5">
        <v>0.12479999999999999</v>
      </c>
      <c r="J44" s="5">
        <v>0.12479999999999999</v>
      </c>
      <c r="K44" s="13">
        <v>3632286130.4000001</v>
      </c>
      <c r="L44" s="3">
        <f t="shared" si="8"/>
        <v>4.1720309507084913E-3</v>
      </c>
      <c r="M44" s="8">
        <v>10</v>
      </c>
      <c r="N44" s="8">
        <v>10</v>
      </c>
      <c r="O44" s="60">
        <v>1892</v>
      </c>
      <c r="P44" s="5">
        <v>0.1285</v>
      </c>
      <c r="Q44" s="5">
        <v>0.1285</v>
      </c>
      <c r="R44" s="80">
        <f t="shared" si="15"/>
        <v>4.2056016648526068E-2</v>
      </c>
      <c r="S44" s="80">
        <f t="shared" si="16"/>
        <v>0</v>
      </c>
      <c r="T44" s="80">
        <f t="shared" si="17"/>
        <v>3.1813361611876989E-3</v>
      </c>
      <c r="U44" s="81">
        <f t="shared" si="18"/>
        <v>3.7000000000000088E-3</v>
      </c>
      <c r="V44" s="83">
        <f t="shared" si="19"/>
        <v>3.7000000000000088E-3</v>
      </c>
    </row>
    <row r="45" spans="1:22">
      <c r="A45" s="131">
        <v>37</v>
      </c>
      <c r="B45" s="119" t="s">
        <v>77</v>
      </c>
      <c r="C45" s="120" t="s">
        <v>78</v>
      </c>
      <c r="D45" s="9">
        <v>4920744980.3699999</v>
      </c>
      <c r="E45" s="3">
        <f t="shared" si="14"/>
        <v>5.6519502103173531E-3</v>
      </c>
      <c r="F45" s="8">
        <v>100</v>
      </c>
      <c r="G45" s="8">
        <v>100</v>
      </c>
      <c r="H45" s="60">
        <v>1952</v>
      </c>
      <c r="I45" s="5">
        <v>0.11899999999999999</v>
      </c>
      <c r="J45" s="5">
        <v>0.11899999999999999</v>
      </c>
      <c r="K45" s="9">
        <v>4705247162.3199997</v>
      </c>
      <c r="L45" s="3">
        <f t="shared" si="8"/>
        <v>5.4044301817628461E-3</v>
      </c>
      <c r="M45" s="8">
        <v>100</v>
      </c>
      <c r="N45" s="8">
        <v>100</v>
      </c>
      <c r="O45" s="60">
        <v>1963</v>
      </c>
      <c r="P45" s="5">
        <v>0.12540000000000001</v>
      </c>
      <c r="Q45" s="5">
        <v>0.12540000000000001</v>
      </c>
      <c r="R45" s="80">
        <f t="shared" si="15"/>
        <v>-4.3793738328174146E-2</v>
      </c>
      <c r="S45" s="80">
        <f t="shared" si="16"/>
        <v>0</v>
      </c>
      <c r="T45" s="80">
        <f t="shared" si="17"/>
        <v>5.6352459016393444E-3</v>
      </c>
      <c r="U45" s="81">
        <f t="shared" si="18"/>
        <v>6.4000000000000168E-3</v>
      </c>
      <c r="V45" s="83">
        <f t="shared" si="19"/>
        <v>6.4000000000000168E-3</v>
      </c>
    </row>
    <row r="46" spans="1:22">
      <c r="A46" s="125">
        <v>38</v>
      </c>
      <c r="B46" s="119" t="s">
        <v>79</v>
      </c>
      <c r="C46" s="120" t="s">
        <v>80</v>
      </c>
      <c r="D46" s="9">
        <v>183645844.96000001</v>
      </c>
      <c r="E46" s="3">
        <f t="shared" si="14"/>
        <v>2.1093496537338014E-4</v>
      </c>
      <c r="F46" s="8">
        <v>1</v>
      </c>
      <c r="G46" s="8">
        <v>1</v>
      </c>
      <c r="H46" s="60">
        <v>61</v>
      </c>
      <c r="I46" s="5">
        <v>7.2800000000000004E-2</v>
      </c>
      <c r="J46" s="5">
        <v>7.2800000000000004E-2</v>
      </c>
      <c r="K46" s="9">
        <v>145050703.49000001</v>
      </c>
      <c r="L46" s="3">
        <f t="shared" si="8"/>
        <v>1.6660472293675781E-4</v>
      </c>
      <c r="M46" s="8">
        <v>1</v>
      </c>
      <c r="N46" s="8">
        <v>1</v>
      </c>
      <c r="O46" s="60">
        <v>61</v>
      </c>
      <c r="P46" s="5">
        <v>9.2899999999999996E-2</v>
      </c>
      <c r="Q46" s="5">
        <v>9.2899999999999996E-2</v>
      </c>
      <c r="R46" s="80">
        <f t="shared" si="15"/>
        <v>-0.21016071165893477</v>
      </c>
      <c r="S46" s="80">
        <f t="shared" si="16"/>
        <v>0</v>
      </c>
      <c r="T46" s="80">
        <f t="shared" si="17"/>
        <v>0</v>
      </c>
      <c r="U46" s="81">
        <f t="shared" si="18"/>
        <v>2.0099999999999993E-2</v>
      </c>
      <c r="V46" s="83">
        <f t="shared" si="19"/>
        <v>2.0099999999999993E-2</v>
      </c>
    </row>
    <row r="47" spans="1:22">
      <c r="A47" s="134">
        <v>39</v>
      </c>
      <c r="B47" s="119" t="s">
        <v>81</v>
      </c>
      <c r="C47" s="120" t="s">
        <v>38</v>
      </c>
      <c r="D47" s="13">
        <v>621333368.08000004</v>
      </c>
      <c r="E47" s="3">
        <f t="shared" si="14"/>
        <v>7.1366130014989949E-4</v>
      </c>
      <c r="F47" s="8">
        <v>10</v>
      </c>
      <c r="G47" s="8">
        <v>10</v>
      </c>
      <c r="H47" s="60">
        <v>634</v>
      </c>
      <c r="I47" s="5">
        <v>8.8800000000000004E-2</v>
      </c>
      <c r="J47" s="5">
        <v>8.8800000000000004E-2</v>
      </c>
      <c r="K47" s="13">
        <v>717799703.19000006</v>
      </c>
      <c r="L47" s="3">
        <f t="shared" si="8"/>
        <v>8.2446219009411122E-4</v>
      </c>
      <c r="M47" s="8">
        <v>10</v>
      </c>
      <c r="N47" s="8">
        <v>10</v>
      </c>
      <c r="O47" s="60">
        <v>634</v>
      </c>
      <c r="P47" s="5">
        <v>8.5500000000000007E-2</v>
      </c>
      <c r="Q47" s="5">
        <v>8.5500000000000007E-2</v>
      </c>
      <c r="R47" s="80">
        <f t="shared" si="15"/>
        <v>0.15525696842597297</v>
      </c>
      <c r="S47" s="80">
        <f t="shared" si="16"/>
        <v>0</v>
      </c>
      <c r="T47" s="80">
        <f t="shared" si="17"/>
        <v>0</v>
      </c>
      <c r="U47" s="81">
        <f t="shared" si="18"/>
        <v>-3.2999999999999974E-3</v>
      </c>
      <c r="V47" s="83">
        <f t="shared" si="19"/>
        <v>-3.2999999999999974E-3</v>
      </c>
    </row>
    <row r="48" spans="1:22">
      <c r="A48" s="131">
        <v>40</v>
      </c>
      <c r="B48" s="119" t="s">
        <v>248</v>
      </c>
      <c r="C48" s="120" t="s">
        <v>249</v>
      </c>
      <c r="D48" s="13">
        <v>577639710.38999999</v>
      </c>
      <c r="E48" s="3">
        <f t="shared" si="14"/>
        <v>6.6347492008840699E-4</v>
      </c>
      <c r="F48" s="8">
        <v>1</v>
      </c>
      <c r="G48" s="8">
        <v>1</v>
      </c>
      <c r="H48" s="60">
        <v>23</v>
      </c>
      <c r="I48" s="5">
        <v>8.0199999999999994E-2</v>
      </c>
      <c r="J48" s="5">
        <v>8.0199999999999994E-2</v>
      </c>
      <c r="K48" s="13">
        <v>572801256.04999995</v>
      </c>
      <c r="L48" s="3">
        <f t="shared" si="8"/>
        <v>6.5791748861539494E-4</v>
      </c>
      <c r="M48" s="8">
        <v>1</v>
      </c>
      <c r="N48" s="8">
        <v>1</v>
      </c>
      <c r="O48" s="60">
        <v>23</v>
      </c>
      <c r="P48" s="5">
        <v>0.1191</v>
      </c>
      <c r="Q48" s="5">
        <v>0.1191</v>
      </c>
      <c r="R48" s="80">
        <f t="shared" si="15"/>
        <v>-8.3762495080770948E-3</v>
      </c>
      <c r="S48" s="80">
        <f t="shared" si="16"/>
        <v>0</v>
      </c>
      <c r="T48" s="80">
        <f t="shared" si="17"/>
        <v>0</v>
      </c>
      <c r="U48" s="81">
        <f t="shared" si="18"/>
        <v>3.8900000000000004E-2</v>
      </c>
      <c r="V48" s="83">
        <f t="shared" si="19"/>
        <v>3.8900000000000004E-2</v>
      </c>
    </row>
    <row r="49" spans="1:22">
      <c r="A49" s="133">
        <v>41</v>
      </c>
      <c r="B49" s="119" t="s">
        <v>82</v>
      </c>
      <c r="C49" s="120" t="s">
        <v>42</v>
      </c>
      <c r="D49" s="9">
        <v>385683613101.01001</v>
      </c>
      <c r="E49" s="3">
        <f t="shared" si="14"/>
        <v>0.44299482840061793</v>
      </c>
      <c r="F49" s="8">
        <v>100</v>
      </c>
      <c r="G49" s="8">
        <v>100</v>
      </c>
      <c r="H49" s="60">
        <v>131821</v>
      </c>
      <c r="I49" s="5">
        <v>0.1099</v>
      </c>
      <c r="J49" s="5">
        <v>0.1099</v>
      </c>
      <c r="K49" s="9">
        <v>384258094263.77002</v>
      </c>
      <c r="L49" s="3">
        <f t="shared" si="8"/>
        <v>0.44135748252634666</v>
      </c>
      <c r="M49" s="8">
        <v>100</v>
      </c>
      <c r="N49" s="8">
        <v>100</v>
      </c>
      <c r="O49" s="60">
        <v>132266</v>
      </c>
      <c r="P49" s="5">
        <v>0.11070000000000001</v>
      </c>
      <c r="Q49" s="5">
        <v>0.11070000000000001</v>
      </c>
      <c r="R49" s="80">
        <f t="shared" si="15"/>
        <v>-3.6960834964659202E-3</v>
      </c>
      <c r="S49" s="80">
        <f t="shared" si="16"/>
        <v>0</v>
      </c>
      <c r="T49" s="80">
        <f t="shared" si="17"/>
        <v>3.3757898969056523E-3</v>
      </c>
      <c r="U49" s="81">
        <f t="shared" si="18"/>
        <v>8.0000000000000904E-4</v>
      </c>
      <c r="V49" s="83">
        <f t="shared" si="19"/>
        <v>8.0000000000000904E-4</v>
      </c>
    </row>
    <row r="50" spans="1:22">
      <c r="A50" s="133">
        <v>42</v>
      </c>
      <c r="B50" s="119" t="s">
        <v>83</v>
      </c>
      <c r="C50" s="120" t="s">
        <v>84</v>
      </c>
      <c r="D50" s="9">
        <v>2664307803.8200002</v>
      </c>
      <c r="E50" s="3">
        <f t="shared" si="14"/>
        <v>3.0602144822019076E-3</v>
      </c>
      <c r="F50" s="8">
        <v>1</v>
      </c>
      <c r="G50" s="8">
        <v>1</v>
      </c>
      <c r="H50" s="60">
        <v>322</v>
      </c>
      <c r="I50" s="5">
        <v>0.13339999999999999</v>
      </c>
      <c r="J50" s="5">
        <v>0.13339999999999999</v>
      </c>
      <c r="K50" s="9">
        <v>2549714783.0100002</v>
      </c>
      <c r="L50" s="3">
        <f t="shared" si="8"/>
        <v>2.9285933454326371E-3</v>
      </c>
      <c r="M50" s="8">
        <v>1</v>
      </c>
      <c r="N50" s="8">
        <v>1</v>
      </c>
      <c r="O50" s="60">
        <v>296</v>
      </c>
      <c r="P50" s="5">
        <v>0.131604</v>
      </c>
      <c r="Q50" s="5">
        <v>0.131604</v>
      </c>
      <c r="R50" s="80">
        <f t="shared" si="15"/>
        <v>-4.3010428692097848E-2</v>
      </c>
      <c r="S50" s="80">
        <f t="shared" si="16"/>
        <v>0</v>
      </c>
      <c r="T50" s="80">
        <f t="shared" si="17"/>
        <v>-8.0745341614906832E-2</v>
      </c>
      <c r="U50" s="81">
        <f t="shared" si="18"/>
        <v>-1.795999999999992E-3</v>
      </c>
      <c r="V50" s="83">
        <f t="shared" si="19"/>
        <v>-1.795999999999992E-3</v>
      </c>
    </row>
    <row r="51" spans="1:22">
      <c r="A51" s="129">
        <v>43</v>
      </c>
      <c r="B51" s="119" t="s">
        <v>85</v>
      </c>
      <c r="C51" s="120" t="s">
        <v>45</v>
      </c>
      <c r="D51" s="9">
        <v>44174349992.699997</v>
      </c>
      <c r="E51" s="3">
        <f t="shared" si="14"/>
        <v>5.0738501533379582E-2</v>
      </c>
      <c r="F51" s="8">
        <v>1</v>
      </c>
      <c r="G51" s="8">
        <v>1</v>
      </c>
      <c r="H51" s="60">
        <v>18813</v>
      </c>
      <c r="I51" s="5">
        <v>0.1056</v>
      </c>
      <c r="J51" s="5">
        <v>0.1056</v>
      </c>
      <c r="K51" s="9">
        <v>45848781777.639999</v>
      </c>
      <c r="L51" s="3">
        <f t="shared" si="8"/>
        <v>5.2661747935460371E-2</v>
      </c>
      <c r="M51" s="8">
        <v>1</v>
      </c>
      <c r="N51" s="8">
        <v>1</v>
      </c>
      <c r="O51" s="60">
        <v>18694</v>
      </c>
      <c r="P51" s="5">
        <v>0.1089</v>
      </c>
      <c r="Q51" s="5">
        <v>0.1089</v>
      </c>
      <c r="R51" s="80">
        <f t="shared" si="15"/>
        <v>3.790506900988265E-2</v>
      </c>
      <c r="S51" s="80">
        <f t="shared" si="16"/>
        <v>0</v>
      </c>
      <c r="T51" s="80">
        <f t="shared" si="17"/>
        <v>-6.3254132780524103E-3</v>
      </c>
      <c r="U51" s="81">
        <f t="shared" si="18"/>
        <v>3.2999999999999974E-3</v>
      </c>
      <c r="V51" s="83">
        <f t="shared" si="19"/>
        <v>3.2999999999999974E-3</v>
      </c>
    </row>
    <row r="52" spans="1:22">
      <c r="A52" s="133">
        <v>44</v>
      </c>
      <c r="B52" s="119" t="s">
        <v>86</v>
      </c>
      <c r="C52" s="120" t="s">
        <v>87</v>
      </c>
      <c r="D52" s="9">
        <v>1802595709.3200002</v>
      </c>
      <c r="E52" s="3">
        <f t="shared" si="14"/>
        <v>2.0704550304987083E-3</v>
      </c>
      <c r="F52" s="8">
        <v>1</v>
      </c>
      <c r="G52" s="8">
        <v>1</v>
      </c>
      <c r="H52" s="60">
        <v>55</v>
      </c>
      <c r="I52" s="5">
        <v>9.1200000000000003E-2</v>
      </c>
      <c r="J52" s="5">
        <v>9.1200000000000003E-2</v>
      </c>
      <c r="K52" s="9">
        <v>1805738987.1600003</v>
      </c>
      <c r="L52" s="3">
        <f t="shared" si="8"/>
        <v>2.0740653882635883E-3</v>
      </c>
      <c r="M52" s="8">
        <v>1</v>
      </c>
      <c r="N52" s="8">
        <v>1</v>
      </c>
      <c r="O52" s="60">
        <v>58</v>
      </c>
      <c r="P52" s="5">
        <v>9.1700000000000004E-2</v>
      </c>
      <c r="Q52" s="5">
        <v>9.1700000000000004E-2</v>
      </c>
      <c r="R52" s="80">
        <f t="shared" si="15"/>
        <v>1.7437508720055163E-3</v>
      </c>
      <c r="S52" s="80">
        <f t="shared" si="16"/>
        <v>0</v>
      </c>
      <c r="T52" s="80">
        <f t="shared" si="17"/>
        <v>5.4545454545454543E-2</v>
      </c>
      <c r="U52" s="81">
        <f t="shared" si="18"/>
        <v>5.0000000000000044E-4</v>
      </c>
      <c r="V52" s="83">
        <f t="shared" si="19"/>
        <v>5.0000000000000044E-4</v>
      </c>
    </row>
    <row r="53" spans="1:22">
      <c r="A53" s="134">
        <v>45</v>
      </c>
      <c r="B53" s="119" t="s">
        <v>88</v>
      </c>
      <c r="C53" s="120" t="s">
        <v>89</v>
      </c>
      <c r="D53" s="9">
        <v>937966540.12</v>
      </c>
      <c r="E53" s="3">
        <f t="shared" si="14"/>
        <v>1.0773450371539589E-3</v>
      </c>
      <c r="F53" s="8">
        <v>1</v>
      </c>
      <c r="G53" s="8">
        <v>1</v>
      </c>
      <c r="H53" s="60">
        <v>209</v>
      </c>
      <c r="I53" s="5">
        <v>0.1024</v>
      </c>
      <c r="J53" s="5">
        <v>0.1024</v>
      </c>
      <c r="K53" s="9">
        <v>914995007.35000002</v>
      </c>
      <c r="L53" s="3">
        <f t="shared" si="8"/>
        <v>1.0509600161889116E-3</v>
      </c>
      <c r="M53" s="8">
        <v>1</v>
      </c>
      <c r="N53" s="8">
        <v>1</v>
      </c>
      <c r="O53" s="60">
        <v>208</v>
      </c>
      <c r="P53" s="5">
        <v>0.1028</v>
      </c>
      <c r="Q53" s="5">
        <v>0.1028</v>
      </c>
      <c r="R53" s="80">
        <f t="shared" si="15"/>
        <v>-2.449078062748495E-2</v>
      </c>
      <c r="S53" s="80">
        <f t="shared" si="16"/>
        <v>0</v>
      </c>
      <c r="T53" s="80">
        <f t="shared" si="17"/>
        <v>-4.7846889952153108E-3</v>
      </c>
      <c r="U53" s="81">
        <f t="shared" si="18"/>
        <v>3.9999999999999758E-4</v>
      </c>
      <c r="V53" s="83">
        <f t="shared" si="19"/>
        <v>3.9999999999999758E-4</v>
      </c>
    </row>
    <row r="54" spans="1:22">
      <c r="A54" s="125">
        <v>46</v>
      </c>
      <c r="B54" s="119" t="s">
        <v>90</v>
      </c>
      <c r="C54" s="120" t="s">
        <v>91</v>
      </c>
      <c r="D54" s="9">
        <v>24860225027.880001</v>
      </c>
      <c r="E54" s="3">
        <f t="shared" si="14"/>
        <v>2.8554366185483154E-2</v>
      </c>
      <c r="F54" s="8">
        <v>1</v>
      </c>
      <c r="G54" s="8">
        <v>1</v>
      </c>
      <c r="H54" s="60">
        <v>3056</v>
      </c>
      <c r="I54" s="5">
        <v>0.1125</v>
      </c>
      <c r="J54" s="5">
        <v>0.1125</v>
      </c>
      <c r="K54" s="9">
        <v>26152308396.93</v>
      </c>
      <c r="L54" s="3">
        <f t="shared" si="8"/>
        <v>3.0038448554836217E-2</v>
      </c>
      <c r="M54" s="8">
        <v>1</v>
      </c>
      <c r="N54" s="8">
        <v>1</v>
      </c>
      <c r="O54" s="60">
        <v>3051</v>
      </c>
      <c r="P54" s="5">
        <v>0.1144</v>
      </c>
      <c r="Q54" s="5">
        <v>0.1144</v>
      </c>
      <c r="R54" s="80">
        <f t="shared" si="15"/>
        <v>5.1973920895766884E-2</v>
      </c>
      <c r="S54" s="80">
        <f t="shared" si="16"/>
        <v>0</v>
      </c>
      <c r="T54" s="80">
        <f t="shared" si="17"/>
        <v>-1.6361256544502618E-3</v>
      </c>
      <c r="U54" s="81">
        <f t="shared" si="18"/>
        <v>1.8999999999999989E-3</v>
      </c>
      <c r="V54" s="83">
        <f t="shared" si="19"/>
        <v>1.8999999999999989E-3</v>
      </c>
    </row>
    <row r="55" spans="1:22">
      <c r="A55" s="75"/>
      <c r="B55" s="19"/>
      <c r="C55" s="71" t="s">
        <v>46</v>
      </c>
      <c r="D55" s="59">
        <f>SUM(D25:D54)</f>
        <v>869196903201.49829</v>
      </c>
      <c r="E55" s="104">
        <f>(D55/$D$177)</f>
        <v>0.40992474291064029</v>
      </c>
      <c r="F55" s="30"/>
      <c r="G55" s="11"/>
      <c r="H55" s="65">
        <f>SUM(H25:H54)</f>
        <v>287167</v>
      </c>
      <c r="I55" s="32"/>
      <c r="J55" s="32"/>
      <c r="K55" s="59">
        <f>SUM(K25:K54)</f>
        <v>870627800539.9668</v>
      </c>
      <c r="L55" s="104">
        <f>(K55/$K$177)</f>
        <v>0.38662077090836422</v>
      </c>
      <c r="M55" s="30"/>
      <c r="N55" s="11"/>
      <c r="O55" s="65">
        <f>SUM(O25:O54)</f>
        <v>287474</v>
      </c>
      <c r="P55" s="32"/>
      <c r="Q55" s="32"/>
      <c r="R55" s="80">
        <f t="shared" si="15"/>
        <v>1.6462292182566527E-3</v>
      </c>
      <c r="S55" s="80" t="e">
        <f t="shared" si="16"/>
        <v>#DIV/0!</v>
      </c>
      <c r="T55" s="80">
        <f t="shared" si="17"/>
        <v>1.0690643423513148E-3</v>
      </c>
      <c r="U55" s="81">
        <f t="shared" si="18"/>
        <v>0</v>
      </c>
      <c r="V55" s="83">
        <f t="shared" si="19"/>
        <v>0</v>
      </c>
    </row>
    <row r="56" spans="1:22" ht="9" customHeight="1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</row>
    <row r="57" spans="1:22" ht="15" customHeight="1">
      <c r="A57" s="140" t="s">
        <v>92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</row>
    <row r="58" spans="1:22">
      <c r="A58" s="125">
        <v>47</v>
      </c>
      <c r="B58" s="119" t="s">
        <v>93</v>
      </c>
      <c r="C58" s="120" t="s">
        <v>19</v>
      </c>
      <c r="D58" s="2">
        <v>479041583.88</v>
      </c>
      <c r="E58" s="3">
        <f>(D58/$D$89)</f>
        <v>1.6408448244492923E-3</v>
      </c>
      <c r="F58" s="14">
        <v>1.2379</v>
      </c>
      <c r="G58" s="14">
        <v>1.2379</v>
      </c>
      <c r="H58" s="60">
        <v>394</v>
      </c>
      <c r="I58" s="5">
        <v>3.2299999999999999E-4</v>
      </c>
      <c r="J58" s="5">
        <v>5.4000000000000003E-3</v>
      </c>
      <c r="K58" s="2">
        <v>467203461.57999998</v>
      </c>
      <c r="L58" s="3">
        <f t="shared" ref="L58:L88" si="20">(K58/$K$89)</f>
        <v>1.619653470869087E-3</v>
      </c>
      <c r="M58" s="14">
        <v>1.2471000000000001</v>
      </c>
      <c r="N58" s="14">
        <v>1.2471000000000001</v>
      </c>
      <c r="O58" s="60">
        <v>396</v>
      </c>
      <c r="P58" s="5">
        <v>-1.8341E-2</v>
      </c>
      <c r="Q58" s="5">
        <v>1.29E-2</v>
      </c>
      <c r="R58" s="80">
        <f t="shared" ref="R58" si="21">((K58-D58)/D58)</f>
        <v>-2.4712097442808771E-2</v>
      </c>
      <c r="S58" s="80">
        <f t="shared" ref="S58" si="22">((N58-G58)/G58)</f>
        <v>7.4319411907263081E-3</v>
      </c>
      <c r="T58" s="80">
        <f t="shared" ref="T58" si="23">((O58-H58)/H58)</f>
        <v>5.076142131979695E-3</v>
      </c>
      <c r="U58" s="81">
        <f t="shared" ref="U58" si="24">P58-I58</f>
        <v>-1.8664E-2</v>
      </c>
      <c r="V58" s="83">
        <f t="shared" ref="V58" si="25">Q58-J58</f>
        <v>7.4999999999999997E-3</v>
      </c>
    </row>
    <row r="59" spans="1:22">
      <c r="A59" s="125">
        <v>48</v>
      </c>
      <c r="B59" s="119" t="s">
        <v>94</v>
      </c>
      <c r="C59" s="120" t="s">
        <v>21</v>
      </c>
      <c r="D59" s="2">
        <v>1185152975.6500001</v>
      </c>
      <c r="E59" s="3">
        <f>(D59/$D$89)</f>
        <v>4.0594641294504326E-3</v>
      </c>
      <c r="F59" s="14">
        <v>1.1449</v>
      </c>
      <c r="G59" s="14">
        <v>1.1449</v>
      </c>
      <c r="H59" s="60">
        <v>555</v>
      </c>
      <c r="I59" s="5">
        <v>2.2800000000000001E-2</v>
      </c>
      <c r="J59" s="5">
        <v>3.6700000000000003E-2</v>
      </c>
      <c r="K59" s="2">
        <v>1214090101.3099999</v>
      </c>
      <c r="L59" s="3">
        <f t="shared" si="20"/>
        <v>4.2088841548487375E-3</v>
      </c>
      <c r="M59" s="14">
        <v>1.155</v>
      </c>
      <c r="N59" s="14">
        <v>1.155</v>
      </c>
      <c r="O59" s="60">
        <v>557</v>
      </c>
      <c r="P59" s="5">
        <v>0.46</v>
      </c>
      <c r="Q59" s="5">
        <v>4.5699999999999998E-2</v>
      </c>
      <c r="R59" s="80">
        <f t="shared" ref="R59:R89" si="26">((K59-D59)/D59)</f>
        <v>2.4416363334133478E-2</v>
      </c>
      <c r="S59" s="80">
        <f t="shared" ref="S59:S89" si="27">((N59-G59)/G59)</f>
        <v>8.8217311555594362E-3</v>
      </c>
      <c r="T59" s="80">
        <f t="shared" ref="T59:T89" si="28">((O59-H59)/H59)</f>
        <v>3.6036036036036037E-3</v>
      </c>
      <c r="U59" s="81">
        <f t="shared" ref="U59:U89" si="29">P59-I59</f>
        <v>0.43720000000000003</v>
      </c>
      <c r="V59" s="83">
        <f t="shared" ref="V59:V89" si="30">Q59-J59</f>
        <v>8.9999999999999941E-3</v>
      </c>
    </row>
    <row r="60" spans="1:22">
      <c r="A60" s="125">
        <v>49</v>
      </c>
      <c r="B60" s="119" t="s">
        <v>95</v>
      </c>
      <c r="C60" s="120" t="s">
        <v>21</v>
      </c>
      <c r="D60" s="2">
        <v>1005122949.39</v>
      </c>
      <c r="E60" s="3">
        <f>(D60/$D$89)</f>
        <v>3.4428134110689795E-3</v>
      </c>
      <c r="F60" s="14">
        <v>1.0608</v>
      </c>
      <c r="G60" s="14">
        <v>1.0608</v>
      </c>
      <c r="H60" s="60">
        <v>143</v>
      </c>
      <c r="I60" s="5">
        <v>8.3699999999999997E-2</v>
      </c>
      <c r="J60" s="5">
        <v>2.6700000000000002E-2</v>
      </c>
      <c r="K60" s="2">
        <v>1006666842.9400001</v>
      </c>
      <c r="L60" s="3">
        <f t="shared" si="20"/>
        <v>3.4898102866419206E-3</v>
      </c>
      <c r="M60" s="14">
        <v>1.0624</v>
      </c>
      <c r="N60" s="14">
        <v>1.0624</v>
      </c>
      <c r="O60" s="60">
        <v>143</v>
      </c>
      <c r="P60" s="5">
        <v>7.8600000000000003E-2</v>
      </c>
      <c r="Q60" s="5">
        <v>2.7799999999999998E-2</v>
      </c>
      <c r="R60" s="80">
        <f t="shared" si="26"/>
        <v>1.5360245738464599E-3</v>
      </c>
      <c r="S60" s="80">
        <f t="shared" si="27"/>
        <v>1.508295625942728E-3</v>
      </c>
      <c r="T60" s="80">
        <f t="shared" si="28"/>
        <v>0</v>
      </c>
      <c r="U60" s="81">
        <f t="shared" si="29"/>
        <v>-5.0999999999999934E-3</v>
      </c>
      <c r="V60" s="83">
        <f t="shared" si="30"/>
        <v>1.0999999999999968E-3</v>
      </c>
    </row>
    <row r="61" spans="1:22">
      <c r="A61" s="125">
        <v>50</v>
      </c>
      <c r="B61" s="119" t="s">
        <v>96</v>
      </c>
      <c r="C61" s="120" t="s">
        <v>97</v>
      </c>
      <c r="D61" s="2">
        <v>265551779.63999999</v>
      </c>
      <c r="E61" s="3">
        <f>(D61/$D$89)</f>
        <v>9.0958546795958989E-4</v>
      </c>
      <c r="F61" s="7">
        <v>1122.46</v>
      </c>
      <c r="G61" s="7">
        <v>1122.46</v>
      </c>
      <c r="H61" s="60">
        <v>118</v>
      </c>
      <c r="I61" s="5">
        <v>3.8999999999999998E-3</v>
      </c>
      <c r="J61" s="5">
        <v>4.8099999999999997E-2</v>
      </c>
      <c r="K61" s="2">
        <v>267875726.80000001</v>
      </c>
      <c r="L61" s="3">
        <f t="shared" si="20"/>
        <v>9.2864434096002048E-4</v>
      </c>
      <c r="M61" s="7">
        <v>1132</v>
      </c>
      <c r="N61" s="7">
        <v>1132</v>
      </c>
      <c r="O61" s="60">
        <v>118</v>
      </c>
      <c r="P61" s="5">
        <v>8.3999999999999995E-3</v>
      </c>
      <c r="Q61" s="5">
        <v>5.6599999999999998E-2</v>
      </c>
      <c r="R61" s="80">
        <f t="shared" si="26"/>
        <v>8.751389891457427E-3</v>
      </c>
      <c r="S61" s="80">
        <f t="shared" si="27"/>
        <v>8.4991892806870299E-3</v>
      </c>
      <c r="T61" s="80">
        <f t="shared" si="28"/>
        <v>0</v>
      </c>
      <c r="U61" s="81">
        <f t="shared" si="29"/>
        <v>4.4999999999999997E-3</v>
      </c>
      <c r="V61" s="83">
        <f t="shared" si="30"/>
        <v>8.5000000000000006E-3</v>
      </c>
    </row>
    <row r="62" spans="1:22" ht="15" customHeight="1">
      <c r="A62" s="125">
        <v>51</v>
      </c>
      <c r="B62" s="119" t="s">
        <v>98</v>
      </c>
      <c r="C62" s="120" t="s">
        <v>99</v>
      </c>
      <c r="D62" s="2">
        <v>1469158911.74</v>
      </c>
      <c r="E62" s="3">
        <f>(D62/$K$89)</f>
        <v>5.0931307799192997E-3</v>
      </c>
      <c r="F62" s="7">
        <v>1.0443</v>
      </c>
      <c r="G62" s="7">
        <v>1.0443</v>
      </c>
      <c r="H62" s="60">
        <v>787</v>
      </c>
      <c r="I62" s="5">
        <v>1.6500000000000001E-2</v>
      </c>
      <c r="J62" s="5">
        <v>7.5499999999999998E-2</v>
      </c>
      <c r="K62" s="2">
        <v>1466348395.21</v>
      </c>
      <c r="L62" s="3">
        <f t="shared" si="20"/>
        <v>5.0833875668931053E-3</v>
      </c>
      <c r="M62" s="7">
        <v>1.0461</v>
      </c>
      <c r="N62" s="7">
        <v>1.0461</v>
      </c>
      <c r="O62" s="60">
        <v>789</v>
      </c>
      <c r="P62" s="5">
        <v>1.6999999999999999E-3</v>
      </c>
      <c r="Q62" s="5">
        <v>7.7200000000000005E-2</v>
      </c>
      <c r="R62" s="80">
        <f t="shared" si="26"/>
        <v>-1.9130105719273982E-3</v>
      </c>
      <c r="S62" s="80">
        <f t="shared" si="27"/>
        <v>1.7236426314277734E-3</v>
      </c>
      <c r="T62" s="80">
        <f t="shared" si="28"/>
        <v>2.5412960609911056E-3</v>
      </c>
      <c r="U62" s="81">
        <f t="shared" si="29"/>
        <v>-1.4800000000000001E-2</v>
      </c>
      <c r="V62" s="83">
        <v>7.87</v>
      </c>
    </row>
    <row r="63" spans="1:22">
      <c r="A63" s="134">
        <v>52</v>
      </c>
      <c r="B63" s="119" t="s">
        <v>100</v>
      </c>
      <c r="C63" s="120" t="s">
        <v>101</v>
      </c>
      <c r="D63" s="2">
        <v>413158855.03430551</v>
      </c>
      <c r="E63" s="3">
        <f t="shared" ref="E63:E88" si="31">(D63/$D$89)</f>
        <v>1.4151789568403253E-3</v>
      </c>
      <c r="F63" s="7">
        <v>2.2193000000000001</v>
      </c>
      <c r="G63" s="7">
        <v>2.2193000000000001</v>
      </c>
      <c r="H63" s="60">
        <v>1399</v>
      </c>
      <c r="I63" s="5">
        <v>0.1036</v>
      </c>
      <c r="J63" s="5">
        <v>9.4500000000000001E-2</v>
      </c>
      <c r="K63" s="2">
        <v>413158855.03430551</v>
      </c>
      <c r="L63" s="3">
        <f t="shared" si="20"/>
        <v>1.4322971223577443E-3</v>
      </c>
      <c r="M63" s="7">
        <v>2.2238000000000002</v>
      </c>
      <c r="N63" s="7">
        <v>2.2238000000000002</v>
      </c>
      <c r="O63" s="60">
        <v>1399</v>
      </c>
      <c r="P63" s="5">
        <v>0.105728318453055</v>
      </c>
      <c r="Q63" s="5">
        <v>9.4913364537727404E-2</v>
      </c>
      <c r="R63" s="80">
        <f t="shared" si="26"/>
        <v>0</v>
      </c>
      <c r="S63" s="80">
        <f t="shared" si="27"/>
        <v>2.027666381291475E-3</v>
      </c>
      <c r="T63" s="80">
        <f t="shared" si="28"/>
        <v>0</v>
      </c>
      <c r="U63" s="81">
        <f t="shared" si="29"/>
        <v>2.1283184530550003E-3</v>
      </c>
      <c r="V63" s="83">
        <f t="shared" si="30"/>
        <v>4.1336453772740367E-4</v>
      </c>
    </row>
    <row r="64" spans="1:22">
      <c r="A64" s="132">
        <v>53</v>
      </c>
      <c r="B64" s="119" t="s">
        <v>102</v>
      </c>
      <c r="C64" s="120" t="s">
        <v>56</v>
      </c>
      <c r="D64" s="2">
        <v>2584133662.3710999</v>
      </c>
      <c r="E64" s="3">
        <f t="shared" si="31"/>
        <v>8.851345036152385E-3</v>
      </c>
      <c r="F64" s="2">
        <v>3973.9420530555499</v>
      </c>
      <c r="G64" s="2">
        <v>3973.9420530555499</v>
      </c>
      <c r="H64" s="60">
        <v>1035</v>
      </c>
      <c r="I64" s="5">
        <v>7.5013978645063373E-2</v>
      </c>
      <c r="J64" s="5">
        <v>7.6851747811487001E-2</v>
      </c>
      <c r="K64" s="2">
        <v>2588088451.4270802</v>
      </c>
      <c r="L64" s="3">
        <f t="shared" si="20"/>
        <v>8.9721219725001997E-3</v>
      </c>
      <c r="M64" s="2">
        <v>3979.7191638110298</v>
      </c>
      <c r="N64" s="2">
        <v>3979.7191638110298</v>
      </c>
      <c r="O64" s="60">
        <v>1035</v>
      </c>
      <c r="P64" s="5">
        <v>7.5802580108040599E-2</v>
      </c>
      <c r="Q64" s="5">
        <v>7.693970997221089E-2</v>
      </c>
      <c r="R64" s="80">
        <f t="shared" si="26"/>
        <v>1.5304119572326789E-3</v>
      </c>
      <c r="S64" s="80">
        <f t="shared" si="27"/>
        <v>1.4537481116610527E-3</v>
      </c>
      <c r="T64" s="80">
        <f t="shared" si="28"/>
        <v>0</v>
      </c>
      <c r="U64" s="81">
        <f t="shared" si="29"/>
        <v>7.8860146297722589E-4</v>
      </c>
      <c r="V64" s="83">
        <f t="shared" si="30"/>
        <v>8.7962160723889515E-5</v>
      </c>
    </row>
    <row r="65" spans="1:22">
      <c r="A65" s="125">
        <v>54</v>
      </c>
      <c r="B65" s="119" t="s">
        <v>103</v>
      </c>
      <c r="C65" s="120" t="s">
        <v>58</v>
      </c>
      <c r="D65" s="2">
        <v>340356114.22000003</v>
      </c>
      <c r="E65" s="3">
        <f t="shared" si="31"/>
        <v>1.1658102078826134E-3</v>
      </c>
      <c r="F65" s="14">
        <v>106.87</v>
      </c>
      <c r="G65" s="14">
        <v>106.87</v>
      </c>
      <c r="H65" s="60">
        <v>121</v>
      </c>
      <c r="I65" s="5">
        <v>1.9E-3</v>
      </c>
      <c r="J65" s="5">
        <v>0.1032</v>
      </c>
      <c r="K65" s="2">
        <v>341121364.77999997</v>
      </c>
      <c r="L65" s="3">
        <f t="shared" si="20"/>
        <v>1.1825648735244265E-3</v>
      </c>
      <c r="M65" s="14">
        <v>107.06</v>
      </c>
      <c r="N65" s="14">
        <v>107.06</v>
      </c>
      <c r="O65" s="60">
        <v>121</v>
      </c>
      <c r="P65" s="5">
        <v>1.8E-3</v>
      </c>
      <c r="Q65" s="5">
        <v>0.1031</v>
      </c>
      <c r="R65" s="80">
        <f t="shared" si="26"/>
        <v>2.2483819976429121E-3</v>
      </c>
      <c r="S65" s="80">
        <f t="shared" si="27"/>
        <v>1.7778609525591627E-3</v>
      </c>
      <c r="T65" s="80">
        <f t="shared" si="28"/>
        <v>0</v>
      </c>
      <c r="U65" s="81">
        <f t="shared" si="29"/>
        <v>-1.0000000000000005E-4</v>
      </c>
      <c r="V65" s="83">
        <f t="shared" si="30"/>
        <v>-1.0000000000000286E-4</v>
      </c>
    </row>
    <row r="66" spans="1:22">
      <c r="A66" s="131">
        <v>55</v>
      </c>
      <c r="B66" s="119" t="s">
        <v>104</v>
      </c>
      <c r="C66" s="120" t="s">
        <v>105</v>
      </c>
      <c r="D66" s="2">
        <v>318009846.07999998</v>
      </c>
      <c r="E66" s="3">
        <f t="shared" si="31"/>
        <v>1.0892682965806914E-3</v>
      </c>
      <c r="F66" s="14">
        <v>1.3675999999999999</v>
      </c>
      <c r="G66" s="14">
        <v>1.3675999999999999</v>
      </c>
      <c r="H66" s="60">
        <v>308</v>
      </c>
      <c r="I66" s="5">
        <v>-5.0000000000000001E-4</v>
      </c>
      <c r="J66" s="5">
        <v>1.46E-2</v>
      </c>
      <c r="K66" s="2">
        <v>324403164.66000003</v>
      </c>
      <c r="L66" s="3">
        <f t="shared" si="20"/>
        <v>1.1246079166999416E-3</v>
      </c>
      <c r="M66" s="14">
        <v>1.3951</v>
      </c>
      <c r="N66" s="14">
        <v>1.3951</v>
      </c>
      <c r="O66" s="60">
        <v>308</v>
      </c>
      <c r="P66" s="5">
        <v>2.0108218777420417E-2</v>
      </c>
      <c r="Q66" s="5">
        <v>3.407855891194489E-2</v>
      </c>
      <c r="R66" s="80">
        <f t="shared" si="26"/>
        <v>2.0104152933653856E-2</v>
      </c>
      <c r="S66" s="80">
        <f t="shared" si="27"/>
        <v>2.0108218777420358E-2</v>
      </c>
      <c r="T66" s="80">
        <f t="shared" si="28"/>
        <v>0</v>
      </c>
      <c r="U66" s="81">
        <f t="shared" si="29"/>
        <v>2.0608218777420417E-2</v>
      </c>
      <c r="V66" s="83">
        <f t="shared" si="30"/>
        <v>1.9478558911944888E-2</v>
      </c>
    </row>
    <row r="67" spans="1:22">
      <c r="A67" s="133">
        <v>56</v>
      </c>
      <c r="B67" s="119" t="s">
        <v>106</v>
      </c>
      <c r="C67" s="120" t="s">
        <v>25</v>
      </c>
      <c r="D67" s="2">
        <v>66946811.340000004</v>
      </c>
      <c r="E67" s="3">
        <f t="shared" si="31"/>
        <v>2.2931063314148416E-4</v>
      </c>
      <c r="F67" s="14">
        <v>111.34010000000001</v>
      </c>
      <c r="G67" s="14">
        <v>111.34010000000001</v>
      </c>
      <c r="H67" s="60">
        <v>81</v>
      </c>
      <c r="I67" s="5">
        <v>3.2899999999999997E-4</v>
      </c>
      <c r="J67" s="5">
        <v>9.2299999999999993E-2</v>
      </c>
      <c r="K67" s="2">
        <v>67319221.579999998</v>
      </c>
      <c r="L67" s="3">
        <f t="shared" si="20"/>
        <v>2.33375434590144E-4</v>
      </c>
      <c r="M67" s="14">
        <v>111.5849</v>
      </c>
      <c r="N67" s="14">
        <v>111.5849</v>
      </c>
      <c r="O67" s="60">
        <v>82</v>
      </c>
      <c r="P67" s="5">
        <v>3.2899999999999997E-4</v>
      </c>
      <c r="Q67" s="5">
        <v>9.4700000000000006E-2</v>
      </c>
      <c r="R67" s="80">
        <f t="shared" si="26"/>
        <v>5.5627778611986485E-3</v>
      </c>
      <c r="S67" s="80">
        <f t="shared" si="27"/>
        <v>2.1986687635451906E-3</v>
      </c>
      <c r="T67" s="80">
        <f t="shared" si="28"/>
        <v>1.2345679012345678E-2</v>
      </c>
      <c r="U67" s="81">
        <f t="shared" si="29"/>
        <v>0</v>
      </c>
      <c r="V67" s="83">
        <f t="shared" si="30"/>
        <v>2.4000000000000132E-3</v>
      </c>
    </row>
    <row r="68" spans="1:22">
      <c r="A68" s="133">
        <v>57</v>
      </c>
      <c r="B68" s="119" t="s">
        <v>107</v>
      </c>
      <c r="C68" s="120" t="s">
        <v>108</v>
      </c>
      <c r="D68" s="2">
        <v>911509412.58000016</v>
      </c>
      <c r="E68" s="3">
        <f t="shared" si="31"/>
        <v>3.1221621512577649E-3</v>
      </c>
      <c r="F68" s="7">
        <v>1000</v>
      </c>
      <c r="G68" s="7">
        <v>1000</v>
      </c>
      <c r="H68" s="60">
        <v>267</v>
      </c>
      <c r="I68" s="5">
        <v>7.4911695729754199E-4</v>
      </c>
      <c r="J68" s="5">
        <v>0.14749999999999999</v>
      </c>
      <c r="K68" s="2">
        <v>1008842230.3848058</v>
      </c>
      <c r="L68" s="3">
        <f t="shared" si="20"/>
        <v>3.497351698714402E-3</v>
      </c>
      <c r="M68" s="7">
        <v>1000</v>
      </c>
      <c r="N68" s="7">
        <v>1000</v>
      </c>
      <c r="O68" s="60">
        <v>269</v>
      </c>
      <c r="P68" s="5">
        <v>1.0678202162422901E-3</v>
      </c>
      <c r="Q68" s="5">
        <v>0.14749999999999999</v>
      </c>
      <c r="R68" s="80">
        <f t="shared" si="26"/>
        <v>0.10678202162422877</v>
      </c>
      <c r="S68" s="80">
        <f t="shared" si="27"/>
        <v>0</v>
      </c>
      <c r="T68" s="80">
        <f t="shared" si="28"/>
        <v>7.4906367041198503E-3</v>
      </c>
      <c r="U68" s="81">
        <f t="shared" si="29"/>
        <v>3.1870325894474806E-4</v>
      </c>
      <c r="V68" s="83">
        <f t="shared" si="30"/>
        <v>0</v>
      </c>
    </row>
    <row r="69" spans="1:22">
      <c r="A69" s="136">
        <v>58</v>
      </c>
      <c r="B69" s="119" t="s">
        <v>109</v>
      </c>
      <c r="C69" s="120" t="s">
        <v>64</v>
      </c>
      <c r="D69" s="2">
        <v>221481490.08000001</v>
      </c>
      <c r="E69" s="3">
        <f t="shared" si="31"/>
        <v>7.5863300585637939E-4</v>
      </c>
      <c r="F69" s="7">
        <v>1110.72</v>
      </c>
      <c r="G69" s="7">
        <v>1120.78</v>
      </c>
      <c r="H69" s="60">
        <v>78</v>
      </c>
      <c r="I69" s="5">
        <v>5.4000000000000003E-3</v>
      </c>
      <c r="J69" s="5">
        <v>6.9000000000000006E-2</v>
      </c>
      <c r="K69" s="2">
        <v>223049215.53999999</v>
      </c>
      <c r="L69" s="3">
        <f t="shared" si="20"/>
        <v>7.7324434819524247E-4</v>
      </c>
      <c r="M69" s="7">
        <v>1118.58</v>
      </c>
      <c r="N69" s="7">
        <v>1129.29</v>
      </c>
      <c r="O69" s="60">
        <v>79</v>
      </c>
      <c r="P69" s="5">
        <v>7.4000000000000003E-3</v>
      </c>
      <c r="Q69" s="5">
        <v>7.6399999999999996E-2</v>
      </c>
      <c r="R69" s="80">
        <f t="shared" si="26"/>
        <v>7.0783588255330489E-3</v>
      </c>
      <c r="S69" s="80">
        <f t="shared" si="27"/>
        <v>7.5929263548600006E-3</v>
      </c>
      <c r="T69" s="80">
        <f t="shared" si="28"/>
        <v>1.282051282051282E-2</v>
      </c>
      <c r="U69" s="81">
        <f t="shared" si="29"/>
        <v>2E-3</v>
      </c>
      <c r="V69" s="83">
        <f t="shared" si="30"/>
        <v>7.3999999999999899E-3</v>
      </c>
    </row>
    <row r="70" spans="1:22">
      <c r="A70" s="137">
        <v>59</v>
      </c>
      <c r="B70" s="119" t="s">
        <v>110</v>
      </c>
      <c r="C70" s="120" t="s">
        <v>67</v>
      </c>
      <c r="D70" s="2">
        <v>746785498.79999995</v>
      </c>
      <c r="E70" s="3">
        <f t="shared" si="31"/>
        <v>2.5579389387346291E-3</v>
      </c>
      <c r="F70" s="15">
        <v>1.1006</v>
      </c>
      <c r="G70" s="15">
        <v>1.1006</v>
      </c>
      <c r="H70" s="60">
        <v>37</v>
      </c>
      <c r="I70" s="5">
        <v>4.8388569341733609E-3</v>
      </c>
      <c r="J70" s="5">
        <v>0.10033066517529457</v>
      </c>
      <c r="K70" s="2">
        <v>750137535.75999999</v>
      </c>
      <c r="L70" s="3">
        <f t="shared" si="20"/>
        <v>2.6005005598932788E-3</v>
      </c>
      <c r="M70" s="15">
        <v>1.1059000000000001</v>
      </c>
      <c r="N70" s="15">
        <v>1.1059000000000001</v>
      </c>
      <c r="O70" s="60">
        <v>37</v>
      </c>
      <c r="P70" s="5">
        <v>4.8155551517354922E-3</v>
      </c>
      <c r="Q70" s="5">
        <v>0.10357587958968477</v>
      </c>
      <c r="R70" s="80">
        <f t="shared" si="26"/>
        <v>4.4886208494760325E-3</v>
      </c>
      <c r="S70" s="80">
        <f t="shared" si="27"/>
        <v>4.8155551517354922E-3</v>
      </c>
      <c r="T70" s="80">
        <f t="shared" si="28"/>
        <v>0</v>
      </c>
      <c r="U70" s="81">
        <f t="shared" si="29"/>
        <v>-2.3301782437868714E-5</v>
      </c>
      <c r="V70" s="83">
        <f t="shared" si="30"/>
        <v>3.245214414390199E-3</v>
      </c>
    </row>
    <row r="71" spans="1:22">
      <c r="A71" s="133">
        <v>60</v>
      </c>
      <c r="B71" s="119" t="s">
        <v>111</v>
      </c>
      <c r="C71" s="120" t="s">
        <v>27</v>
      </c>
      <c r="D71" s="2">
        <v>66477699753.580002</v>
      </c>
      <c r="E71" s="3">
        <f t="shared" si="31"/>
        <v>0.22770380119918815</v>
      </c>
      <c r="F71" s="15">
        <v>1532.73</v>
      </c>
      <c r="G71" s="2">
        <v>1532.73</v>
      </c>
      <c r="H71" s="60">
        <v>2462</v>
      </c>
      <c r="I71" s="5">
        <v>2.0999999999999999E-3</v>
      </c>
      <c r="J71" s="5">
        <v>0.11849999999999999</v>
      </c>
      <c r="K71" s="2">
        <v>65822471334.580002</v>
      </c>
      <c r="L71" s="3">
        <f t="shared" si="20"/>
        <v>0.22818665297919366</v>
      </c>
      <c r="M71" s="15">
        <v>1536.04</v>
      </c>
      <c r="N71" s="2">
        <v>1536.04</v>
      </c>
      <c r="O71" s="60">
        <v>2460</v>
      </c>
      <c r="P71" s="5">
        <v>2.2000000000000001E-3</v>
      </c>
      <c r="Q71" s="5">
        <v>0.11899999999999999</v>
      </c>
      <c r="R71" s="80">
        <f t="shared" si="26"/>
        <v>-9.8563641857164919E-3</v>
      </c>
      <c r="S71" s="80">
        <f t="shared" si="27"/>
        <v>2.1595453863367622E-3</v>
      </c>
      <c r="T71" s="80">
        <f t="shared" si="28"/>
        <v>-8.1234768480909826E-4</v>
      </c>
      <c r="U71" s="81">
        <f t="shared" si="29"/>
        <v>1.0000000000000026E-4</v>
      </c>
      <c r="V71" s="83">
        <f t="shared" si="30"/>
        <v>5.0000000000000044E-4</v>
      </c>
    </row>
    <row r="72" spans="1:22">
      <c r="A72" s="134">
        <v>61</v>
      </c>
      <c r="B72" s="119" t="s">
        <v>112</v>
      </c>
      <c r="C72" s="120" t="s">
        <v>72</v>
      </c>
      <c r="D72" s="2">
        <v>24897823.309999999</v>
      </c>
      <c r="E72" s="3">
        <f t="shared" si="31"/>
        <v>8.5281666337551704E-5</v>
      </c>
      <c r="F72" s="2">
        <v>0.75829999999999997</v>
      </c>
      <c r="G72" s="2">
        <v>0.75829999999999997</v>
      </c>
      <c r="H72" s="60">
        <v>748</v>
      </c>
      <c r="I72" s="5">
        <v>1.8E-3</v>
      </c>
      <c r="J72" s="5">
        <v>0.10979999999999999</v>
      </c>
      <c r="K72" s="2">
        <v>24945193.239999998</v>
      </c>
      <c r="L72" s="3">
        <f t="shared" si="20"/>
        <v>8.6477460325383082E-5</v>
      </c>
      <c r="M72" s="2">
        <v>0.75970000000000004</v>
      </c>
      <c r="N72" s="2">
        <v>0.75970000000000004</v>
      </c>
      <c r="O72" s="60">
        <v>747</v>
      </c>
      <c r="P72" s="5">
        <v>1.8E-3</v>
      </c>
      <c r="Q72" s="5">
        <v>0.1118</v>
      </c>
      <c r="R72" s="80">
        <f t="shared" si="26"/>
        <v>1.902573145057784E-3</v>
      </c>
      <c r="S72" s="80">
        <f t="shared" si="27"/>
        <v>1.84623499934072E-3</v>
      </c>
      <c r="T72" s="80">
        <f t="shared" si="28"/>
        <v>-1.3368983957219251E-3</v>
      </c>
      <c r="U72" s="81">
        <f t="shared" si="29"/>
        <v>0</v>
      </c>
      <c r="V72" s="83">
        <f t="shared" si="30"/>
        <v>2.0000000000000018E-3</v>
      </c>
    </row>
    <row r="73" spans="1:22">
      <c r="A73" s="134">
        <v>62</v>
      </c>
      <c r="B73" s="119" t="s">
        <v>113</v>
      </c>
      <c r="C73" s="120" t="s">
        <v>114</v>
      </c>
      <c r="D73" s="2">
        <v>1050319366.71</v>
      </c>
      <c r="E73" s="3">
        <f t="shared" si="31"/>
        <v>3.5976231602404618E-3</v>
      </c>
      <c r="F73" s="2">
        <v>211.85947300000001</v>
      </c>
      <c r="G73" s="2">
        <v>214.01476099999999</v>
      </c>
      <c r="H73" s="60">
        <v>487</v>
      </c>
      <c r="I73" s="5">
        <v>1.8E-3</v>
      </c>
      <c r="J73" s="5">
        <v>7.2999999999999995E-2</v>
      </c>
      <c r="K73" s="2">
        <v>1044559578.1900001</v>
      </c>
      <c r="L73" s="3">
        <f t="shared" si="20"/>
        <v>3.6211729695313686E-3</v>
      </c>
      <c r="M73" s="2">
        <v>212.68407500000001</v>
      </c>
      <c r="N73" s="2">
        <v>214.84914699999999</v>
      </c>
      <c r="O73" s="60">
        <v>487</v>
      </c>
      <c r="P73" s="5">
        <v>2.3E-3</v>
      </c>
      <c r="Q73" s="5">
        <v>7.7200000000000005E-2</v>
      </c>
      <c r="R73" s="80">
        <f t="shared" si="26"/>
        <v>-5.4838449166579022E-3</v>
      </c>
      <c r="S73" s="80">
        <f t="shared" si="27"/>
        <v>3.8987310786473975E-3</v>
      </c>
      <c r="T73" s="80">
        <f t="shared" si="28"/>
        <v>0</v>
      </c>
      <c r="U73" s="81">
        <f t="shared" si="29"/>
        <v>5.0000000000000001E-4</v>
      </c>
      <c r="V73" s="83">
        <f t="shared" si="30"/>
        <v>4.2000000000000093E-3</v>
      </c>
    </row>
    <row r="74" spans="1:22">
      <c r="A74" s="133">
        <v>63</v>
      </c>
      <c r="B74" s="119" t="s">
        <v>115</v>
      </c>
      <c r="C74" s="120" t="s">
        <v>34</v>
      </c>
      <c r="D74" s="2">
        <v>1216965752.6099999</v>
      </c>
      <c r="E74" s="3">
        <f t="shared" si="31"/>
        <v>4.168431351050242E-3</v>
      </c>
      <c r="F74" s="14">
        <v>3.57</v>
      </c>
      <c r="G74" s="14">
        <v>3.57</v>
      </c>
      <c r="H74" s="61">
        <v>781</v>
      </c>
      <c r="I74" s="12">
        <v>8.2000000000000007E-3</v>
      </c>
      <c r="J74" s="12">
        <v>-2.3999999999999998E-3</v>
      </c>
      <c r="K74" s="2">
        <v>1218294096.8900001</v>
      </c>
      <c r="L74" s="3">
        <f t="shared" si="20"/>
        <v>4.2234581394027873E-3</v>
      </c>
      <c r="M74" s="14">
        <v>3.57</v>
      </c>
      <c r="N74" s="14">
        <v>3.57</v>
      </c>
      <c r="O74" s="61">
        <v>781</v>
      </c>
      <c r="P74" s="12">
        <v>9.2999999999999992E-3</v>
      </c>
      <c r="Q74" s="12">
        <v>-1.1999999999999999E-3</v>
      </c>
      <c r="R74" s="80">
        <f t="shared" si="26"/>
        <v>1.0915214969290129E-3</v>
      </c>
      <c r="S74" s="80">
        <f t="shared" si="27"/>
        <v>0</v>
      </c>
      <c r="T74" s="80">
        <f t="shared" si="28"/>
        <v>0</v>
      </c>
      <c r="U74" s="81">
        <f t="shared" si="29"/>
        <v>1.0999999999999985E-3</v>
      </c>
      <c r="V74" s="83">
        <f t="shared" si="30"/>
        <v>1.1999999999999999E-3</v>
      </c>
    </row>
    <row r="75" spans="1:22">
      <c r="A75" s="125">
        <v>64</v>
      </c>
      <c r="B75" s="120" t="s">
        <v>116</v>
      </c>
      <c r="C75" s="124" t="s">
        <v>40</v>
      </c>
      <c r="D75" s="2">
        <v>2060936769</v>
      </c>
      <c r="E75" s="3">
        <f t="shared" si="31"/>
        <v>7.0592565337250709E-3</v>
      </c>
      <c r="F75" s="14">
        <v>101.66</v>
      </c>
      <c r="G75" s="14">
        <v>101.66</v>
      </c>
      <c r="H75" s="60">
        <v>169</v>
      </c>
      <c r="I75" s="5">
        <v>1.9E-3</v>
      </c>
      <c r="J75" s="5">
        <v>0.105</v>
      </c>
      <c r="K75" s="2">
        <v>1912100376.45</v>
      </c>
      <c r="L75" s="3">
        <f t="shared" si="20"/>
        <v>6.6286752261937951E-3</v>
      </c>
      <c r="M75" s="14">
        <v>101.87</v>
      </c>
      <c r="N75" s="14">
        <v>101.87</v>
      </c>
      <c r="O75" s="60">
        <v>178</v>
      </c>
      <c r="P75" s="5">
        <v>1.9E-3</v>
      </c>
      <c r="Q75" s="5">
        <v>0.105</v>
      </c>
      <c r="R75" s="80">
        <f t="shared" si="26"/>
        <v>-7.2217835495369309E-2</v>
      </c>
      <c r="S75" s="80">
        <f t="shared" si="27"/>
        <v>2.0657092268346251E-3</v>
      </c>
      <c r="T75" s="80">
        <f t="shared" si="28"/>
        <v>5.3254437869822487E-2</v>
      </c>
      <c r="U75" s="81">
        <f t="shared" si="29"/>
        <v>0</v>
      </c>
      <c r="V75" s="83">
        <f t="shared" si="30"/>
        <v>0</v>
      </c>
    </row>
    <row r="76" spans="1:22">
      <c r="A76" s="133">
        <v>65</v>
      </c>
      <c r="B76" s="119" t="s">
        <v>117</v>
      </c>
      <c r="C76" s="120" t="s">
        <v>17</v>
      </c>
      <c r="D76" s="2">
        <v>1198302922.25</v>
      </c>
      <c r="E76" s="3">
        <f t="shared" si="31"/>
        <v>4.1045061937439566E-3</v>
      </c>
      <c r="F76" s="14">
        <v>337.46120000000002</v>
      </c>
      <c r="G76" s="14">
        <v>337.46120000000002</v>
      </c>
      <c r="H76" s="60">
        <v>102</v>
      </c>
      <c r="I76" s="5">
        <v>1.9E-3</v>
      </c>
      <c r="J76" s="5">
        <v>0.12559999999999999</v>
      </c>
      <c r="K76" s="2">
        <v>1200998162.55</v>
      </c>
      <c r="L76" s="3">
        <f t="shared" si="20"/>
        <v>4.1634983523092407E-3</v>
      </c>
      <c r="M76" s="14">
        <v>338.18849999999998</v>
      </c>
      <c r="N76" s="14">
        <v>338.18849999999998</v>
      </c>
      <c r="O76" s="60">
        <v>103</v>
      </c>
      <c r="P76" s="5">
        <v>2.2000000000000001E-3</v>
      </c>
      <c r="Q76" s="5">
        <v>0.12790000000000001</v>
      </c>
      <c r="R76" s="80">
        <f t="shared" si="26"/>
        <v>2.2492144932261533E-3</v>
      </c>
      <c r="S76" s="80">
        <f t="shared" si="27"/>
        <v>2.1552107323744387E-3</v>
      </c>
      <c r="T76" s="80">
        <f t="shared" si="28"/>
        <v>9.8039215686274508E-3</v>
      </c>
      <c r="U76" s="81">
        <f t="shared" si="29"/>
        <v>3.0000000000000014E-4</v>
      </c>
      <c r="V76" s="83">
        <f t="shared" si="30"/>
        <v>2.3000000000000242E-3</v>
      </c>
    </row>
    <row r="77" spans="1:22">
      <c r="A77" s="134">
        <v>66</v>
      </c>
      <c r="B77" s="119" t="s">
        <v>118</v>
      </c>
      <c r="C77" s="120" t="s">
        <v>38</v>
      </c>
      <c r="D77" s="2">
        <v>54825618.439999998</v>
      </c>
      <c r="E77" s="3">
        <f t="shared" si="31"/>
        <v>1.8779232386439496E-4</v>
      </c>
      <c r="F77" s="14">
        <v>11.944046</v>
      </c>
      <c r="G77" s="2">
        <v>12.148860000000001</v>
      </c>
      <c r="H77" s="60">
        <v>55</v>
      </c>
      <c r="I77" s="5">
        <v>2.0000000000000001E-4</v>
      </c>
      <c r="J77" s="5">
        <v>7.6499999999999999E-2</v>
      </c>
      <c r="K77" s="2">
        <v>54922402.880000003</v>
      </c>
      <c r="L77" s="3">
        <f t="shared" si="20"/>
        <v>1.9039940361792546E-4</v>
      </c>
      <c r="M77" s="14">
        <v>11.965131</v>
      </c>
      <c r="N77" s="2">
        <v>12.178651</v>
      </c>
      <c r="O77" s="60">
        <v>55</v>
      </c>
      <c r="P77" s="5">
        <v>2.0000000000000001E-4</v>
      </c>
      <c r="Q77" s="5">
        <v>7.8799999999999995E-2</v>
      </c>
      <c r="R77" s="80">
        <f t="shared" si="26"/>
        <v>1.7653141497331931E-3</v>
      </c>
      <c r="S77" s="80">
        <f t="shared" si="27"/>
        <v>2.4521642359858829E-3</v>
      </c>
      <c r="T77" s="80">
        <f t="shared" si="28"/>
        <v>0</v>
      </c>
      <c r="U77" s="81">
        <f t="shared" si="29"/>
        <v>0</v>
      </c>
      <c r="V77" s="83">
        <f t="shared" si="30"/>
        <v>2.2999999999999965E-3</v>
      </c>
    </row>
    <row r="78" spans="1:22">
      <c r="A78" s="125">
        <v>67</v>
      </c>
      <c r="B78" s="119" t="s">
        <v>237</v>
      </c>
      <c r="C78" s="120" t="s">
        <v>238</v>
      </c>
      <c r="D78" s="2">
        <v>143137236.69</v>
      </c>
      <c r="E78" s="3">
        <f t="shared" si="31"/>
        <v>4.902831025784054E-4</v>
      </c>
      <c r="F78" s="2">
        <v>110.85</v>
      </c>
      <c r="G78" s="2">
        <v>110.85</v>
      </c>
      <c r="H78" s="60">
        <v>70</v>
      </c>
      <c r="I78" s="5">
        <v>-0.114</v>
      </c>
      <c r="J78" s="5">
        <v>0.1104</v>
      </c>
      <c r="K78" s="2">
        <v>135902393.08000001</v>
      </c>
      <c r="L78" s="3">
        <f t="shared" si="20"/>
        <v>4.7113260228648032E-4</v>
      </c>
      <c r="M78" s="2">
        <v>111.07</v>
      </c>
      <c r="N78" s="2">
        <v>111.07</v>
      </c>
      <c r="O78" s="60">
        <v>73</v>
      </c>
      <c r="P78" s="5">
        <v>0</v>
      </c>
      <c r="Q78" s="5">
        <v>0.1103</v>
      </c>
      <c r="R78" s="80">
        <f t="shared" ref="R78" si="32">((K78-D78)/D78)</f>
        <v>-5.0544804254317649E-2</v>
      </c>
      <c r="S78" s="80">
        <f t="shared" ref="S78" si="33">((N78-G78)/G78)</f>
        <v>1.9846639603067107E-3</v>
      </c>
      <c r="T78" s="80">
        <f t="shared" ref="T78" si="34">((O78-H78)/H78)</f>
        <v>4.2857142857142858E-2</v>
      </c>
      <c r="U78" s="81">
        <f t="shared" si="29"/>
        <v>0.114</v>
      </c>
      <c r="V78" s="83">
        <f t="shared" si="30"/>
        <v>-1.0000000000000286E-4</v>
      </c>
    </row>
    <row r="79" spans="1:22">
      <c r="A79" s="136">
        <v>68</v>
      </c>
      <c r="B79" s="119" t="s">
        <v>119</v>
      </c>
      <c r="C79" s="120" t="s">
        <v>120</v>
      </c>
      <c r="D79" s="2">
        <v>6804910660.0200005</v>
      </c>
      <c r="E79" s="3">
        <f t="shared" si="31"/>
        <v>2.3308628755975953E-2</v>
      </c>
      <c r="F79" s="14">
        <v>1.1000000000000001</v>
      </c>
      <c r="G79" s="14">
        <v>1.1000000000000001</v>
      </c>
      <c r="H79" s="60">
        <v>3632</v>
      </c>
      <c r="I79" s="5">
        <v>0</v>
      </c>
      <c r="J79" s="5">
        <v>0.10050000000000001</v>
      </c>
      <c r="K79" s="2">
        <v>6794275642.8900003</v>
      </c>
      <c r="L79" s="3">
        <f t="shared" si="20"/>
        <v>2.3553704182398896E-2</v>
      </c>
      <c r="M79" s="14">
        <v>1.1000000000000001</v>
      </c>
      <c r="N79" s="14">
        <v>1.1000000000000001</v>
      </c>
      <c r="O79" s="60">
        <v>3658</v>
      </c>
      <c r="P79" s="5">
        <v>0</v>
      </c>
      <c r="Q79" s="5">
        <v>0.1004</v>
      </c>
      <c r="R79" s="80">
        <f t="shared" si="26"/>
        <v>-1.5628444900067E-3</v>
      </c>
      <c r="S79" s="80">
        <f t="shared" si="27"/>
        <v>0</v>
      </c>
      <c r="T79" s="80">
        <f t="shared" si="28"/>
        <v>7.1585903083700442E-3</v>
      </c>
      <c r="U79" s="81">
        <f t="shared" si="29"/>
        <v>0</v>
      </c>
      <c r="V79" s="83">
        <f t="shared" si="30"/>
        <v>-1.0000000000000286E-4</v>
      </c>
    </row>
    <row r="80" spans="1:22" ht="14.25" customHeight="1">
      <c r="A80" s="133">
        <v>69</v>
      </c>
      <c r="B80" s="119" t="s">
        <v>121</v>
      </c>
      <c r="C80" s="120" t="s">
        <v>42</v>
      </c>
      <c r="D80" s="2">
        <v>22230077435.110001</v>
      </c>
      <c r="E80" s="3">
        <f t="shared" si="31"/>
        <v>7.614392723710707E-2</v>
      </c>
      <c r="F80" s="2">
        <v>4969.58</v>
      </c>
      <c r="G80" s="2">
        <v>4969.58</v>
      </c>
      <c r="H80" s="60">
        <v>1136</v>
      </c>
      <c r="I80" s="5">
        <v>1.9E-3</v>
      </c>
      <c r="J80" s="5">
        <v>8.6999999999999994E-2</v>
      </c>
      <c r="K80" s="2">
        <v>22286798334.799999</v>
      </c>
      <c r="L80" s="3">
        <f t="shared" si="20"/>
        <v>7.7261607085368916E-2</v>
      </c>
      <c r="M80" s="2">
        <v>4979.18</v>
      </c>
      <c r="N80" s="2">
        <v>4979.18</v>
      </c>
      <c r="O80" s="60">
        <v>1136</v>
      </c>
      <c r="P80" s="5">
        <v>1.9E-3</v>
      </c>
      <c r="Q80" s="5">
        <v>8.9099999999999999E-2</v>
      </c>
      <c r="R80" s="80">
        <f t="shared" si="26"/>
        <v>2.5515385565150622E-3</v>
      </c>
      <c r="S80" s="80">
        <f t="shared" si="27"/>
        <v>1.9317527839375489E-3</v>
      </c>
      <c r="T80" s="80">
        <f t="shared" si="28"/>
        <v>0</v>
      </c>
      <c r="U80" s="81">
        <f t="shared" si="29"/>
        <v>0</v>
      </c>
      <c r="V80" s="83">
        <f t="shared" si="30"/>
        <v>2.1000000000000046E-3</v>
      </c>
    </row>
    <row r="81" spans="1:29">
      <c r="A81" s="133">
        <v>70</v>
      </c>
      <c r="B81" s="119" t="s">
        <v>122</v>
      </c>
      <c r="C81" s="120" t="s">
        <v>42</v>
      </c>
      <c r="D81" s="2">
        <v>36535973667.949997</v>
      </c>
      <c r="E81" s="3">
        <f t="shared" si="31"/>
        <v>0.12514542644441662</v>
      </c>
      <c r="F81" s="14">
        <v>255.41</v>
      </c>
      <c r="G81" s="14">
        <v>255.41</v>
      </c>
      <c r="H81" s="60">
        <v>11775</v>
      </c>
      <c r="I81" s="5">
        <v>2.0000000000000001E-4</v>
      </c>
      <c r="J81" s="5">
        <v>4.2200000000000001E-2</v>
      </c>
      <c r="K81" s="2">
        <v>36208372197.580002</v>
      </c>
      <c r="L81" s="3">
        <f>(K81/$K$89)</f>
        <v>0.12552350426943129</v>
      </c>
      <c r="M81" s="14">
        <v>255.43</v>
      </c>
      <c r="N81" s="14">
        <v>255.43</v>
      </c>
      <c r="O81" s="60">
        <v>11775</v>
      </c>
      <c r="P81" s="5">
        <v>1E-4</v>
      </c>
      <c r="Q81" s="5">
        <v>4.2299999999999997E-2</v>
      </c>
      <c r="R81" s="80">
        <f t="shared" si="26"/>
        <v>-8.9665455024501763E-3</v>
      </c>
      <c r="S81" s="80">
        <f t="shared" si="27"/>
        <v>7.8305469637094204E-5</v>
      </c>
      <c r="T81" s="80">
        <f t="shared" si="28"/>
        <v>0</v>
      </c>
      <c r="U81" s="81">
        <f t="shared" si="29"/>
        <v>-1E-4</v>
      </c>
      <c r="V81" s="83">
        <f t="shared" si="30"/>
        <v>9.9999999999995925E-5</v>
      </c>
    </row>
    <row r="82" spans="1:29" ht="12.75" customHeight="1">
      <c r="A82" s="133">
        <v>71</v>
      </c>
      <c r="B82" s="119" t="s">
        <v>123</v>
      </c>
      <c r="C82" s="120" t="s">
        <v>42</v>
      </c>
      <c r="D82" s="2">
        <v>291230669.94</v>
      </c>
      <c r="E82" s="3">
        <f t="shared" si="31"/>
        <v>9.975424964602951E-4</v>
      </c>
      <c r="F82" s="2">
        <v>5151.55</v>
      </c>
      <c r="G82" s="7">
        <v>5175.57</v>
      </c>
      <c r="H82" s="60">
        <v>1132</v>
      </c>
      <c r="I82" s="5">
        <v>2.2000000000000001E-3</v>
      </c>
      <c r="J82" s="5">
        <v>0.2152</v>
      </c>
      <c r="K82" s="2">
        <v>292958848.62</v>
      </c>
      <c r="L82" s="3">
        <f t="shared" si="20"/>
        <v>1.0155999580665489E-3</v>
      </c>
      <c r="M82" s="2">
        <v>5182.08</v>
      </c>
      <c r="N82" s="7">
        <v>5206.3100000000004</v>
      </c>
      <c r="O82" s="60">
        <v>1132</v>
      </c>
      <c r="P82" s="5">
        <v>5.8999999999999999E-3</v>
      </c>
      <c r="Q82" s="5">
        <v>0.2225</v>
      </c>
      <c r="R82" s="80">
        <f t="shared" si="26"/>
        <v>5.9340545429368771E-3</v>
      </c>
      <c r="S82" s="80">
        <f t="shared" si="27"/>
        <v>5.9394424189027862E-3</v>
      </c>
      <c r="T82" s="80">
        <f t="shared" si="28"/>
        <v>0</v>
      </c>
      <c r="U82" s="81">
        <f t="shared" si="29"/>
        <v>3.6999999999999997E-3</v>
      </c>
      <c r="V82" s="83">
        <f t="shared" si="30"/>
        <v>7.3000000000000009E-3</v>
      </c>
    </row>
    <row r="83" spans="1:29" ht="12.75" customHeight="1">
      <c r="A83" s="133">
        <v>72</v>
      </c>
      <c r="B83" s="119" t="s">
        <v>124</v>
      </c>
      <c r="C83" s="120" t="s">
        <v>42</v>
      </c>
      <c r="D83" s="2">
        <v>18715842938.169998</v>
      </c>
      <c r="E83" s="3">
        <f t="shared" si="31"/>
        <v>6.410673948505248E-2</v>
      </c>
      <c r="F83" s="14">
        <v>125.01</v>
      </c>
      <c r="G83" s="14">
        <v>125.01</v>
      </c>
      <c r="H83" s="60">
        <v>5719</v>
      </c>
      <c r="I83" s="5">
        <v>1.5E-3</v>
      </c>
      <c r="J83" s="5">
        <v>8.6999999999999994E-2</v>
      </c>
      <c r="K83" s="2">
        <v>18142619509.669998</v>
      </c>
      <c r="L83" s="3">
        <f t="shared" si="20"/>
        <v>6.2894989176921212E-2</v>
      </c>
      <c r="M83" s="14">
        <v>125.25</v>
      </c>
      <c r="N83" s="14">
        <v>125.25</v>
      </c>
      <c r="O83" s="60">
        <v>5723</v>
      </c>
      <c r="P83" s="5">
        <v>1.9E-3</v>
      </c>
      <c r="Q83" s="5">
        <v>8.9099999999999999E-2</v>
      </c>
      <c r="R83" s="80">
        <f t="shared" si="26"/>
        <v>-3.0627710992965233E-2</v>
      </c>
      <c r="S83" s="80">
        <f t="shared" si="27"/>
        <v>1.9198464122869761E-3</v>
      </c>
      <c r="T83" s="80">
        <f t="shared" si="28"/>
        <v>6.9942297604476302E-4</v>
      </c>
      <c r="U83" s="81">
        <f t="shared" si="29"/>
        <v>3.9999999999999996E-4</v>
      </c>
      <c r="V83" s="83">
        <f t="shared" si="30"/>
        <v>2.1000000000000046E-3</v>
      </c>
    </row>
    <row r="84" spans="1:29" ht="12.75" customHeight="1">
      <c r="A84" s="133">
        <v>73</v>
      </c>
      <c r="B84" s="119" t="s">
        <v>125</v>
      </c>
      <c r="C84" s="120" t="s">
        <v>42</v>
      </c>
      <c r="D84" s="2">
        <v>13773987848.030001</v>
      </c>
      <c r="E84" s="3">
        <f t="shared" si="31"/>
        <v>4.7179571529909231E-2</v>
      </c>
      <c r="F84" s="14">
        <v>350.25</v>
      </c>
      <c r="G84" s="14">
        <v>350.38</v>
      </c>
      <c r="H84" s="60">
        <v>17542</v>
      </c>
      <c r="I84" s="5">
        <v>1.2999999999999999E-3</v>
      </c>
      <c r="J84" s="5">
        <v>5.3699999999999998E-2</v>
      </c>
      <c r="K84" s="2">
        <v>13753824721.129999</v>
      </c>
      <c r="L84" s="3">
        <f t="shared" si="20"/>
        <v>4.7680361510953465E-2</v>
      </c>
      <c r="M84" s="14">
        <v>350.74</v>
      </c>
      <c r="N84" s="14">
        <v>350.87</v>
      </c>
      <c r="O84" s="60">
        <v>17553</v>
      </c>
      <c r="P84" s="5">
        <v>1.4E-3</v>
      </c>
      <c r="Q84" s="5">
        <v>5.5199999999999999E-2</v>
      </c>
      <c r="R84" s="80">
        <f t="shared" si="26"/>
        <v>-1.4638554297029759E-3</v>
      </c>
      <c r="S84" s="80">
        <f t="shared" si="27"/>
        <v>1.3984816484959447E-3</v>
      </c>
      <c r="T84" s="80">
        <f t="shared" si="28"/>
        <v>6.2706646904571884E-4</v>
      </c>
      <c r="U84" s="81">
        <f t="shared" si="29"/>
        <v>1.0000000000000005E-4</v>
      </c>
      <c r="V84" s="83">
        <f t="shared" si="30"/>
        <v>1.5000000000000013E-3</v>
      </c>
    </row>
    <row r="85" spans="1:29">
      <c r="A85" s="129">
        <v>74</v>
      </c>
      <c r="B85" s="119" t="s">
        <v>126</v>
      </c>
      <c r="C85" s="120" t="s">
        <v>45</v>
      </c>
      <c r="D85" s="2">
        <v>99458160565.600006</v>
      </c>
      <c r="E85" s="3">
        <f t="shared" si="31"/>
        <v>0.34067065053415474</v>
      </c>
      <c r="F85" s="2">
        <v>1.9396</v>
      </c>
      <c r="G85" s="2">
        <v>1.9396</v>
      </c>
      <c r="H85" s="60">
        <v>6099</v>
      </c>
      <c r="I85" s="5">
        <v>1.4E-3</v>
      </c>
      <c r="J85" s="5">
        <v>6.3299999999999995E-2</v>
      </c>
      <c r="K85" s="2">
        <v>97603363444.539993</v>
      </c>
      <c r="L85" s="3">
        <f t="shared" si="20"/>
        <v>0.33836141932004343</v>
      </c>
      <c r="M85" s="2">
        <v>1.9421999999999999</v>
      </c>
      <c r="N85" s="2">
        <v>1.9421999999999999</v>
      </c>
      <c r="O85" s="60">
        <v>6101</v>
      </c>
      <c r="P85" s="5">
        <v>0.10199999999999999</v>
      </c>
      <c r="Q85" s="5">
        <v>6.9000000000000006E-2</v>
      </c>
      <c r="R85" s="80">
        <f t="shared" si="26"/>
        <v>-1.8649018949396686E-2</v>
      </c>
      <c r="S85" s="80">
        <f t="shared" si="27"/>
        <v>1.3404825737265084E-3</v>
      </c>
      <c r="T85" s="80">
        <f t="shared" si="28"/>
        <v>3.2792261026397772E-4</v>
      </c>
      <c r="U85" s="81">
        <f t="shared" si="29"/>
        <v>0.10059999999999999</v>
      </c>
      <c r="V85" s="83">
        <f t="shared" si="30"/>
        <v>5.7000000000000106E-3</v>
      </c>
    </row>
    <row r="86" spans="1:29">
      <c r="A86" s="125">
        <v>75</v>
      </c>
      <c r="B86" s="119" t="s">
        <v>242</v>
      </c>
      <c r="C86" s="119" t="s">
        <v>243</v>
      </c>
      <c r="D86" s="2">
        <v>80098019.609999999</v>
      </c>
      <c r="E86" s="3">
        <f t="shared" si="31"/>
        <v>2.7435701899029553E-4</v>
      </c>
      <c r="F86" s="2">
        <v>100.91073066139133</v>
      </c>
      <c r="G86" s="2">
        <v>100.91073066139133</v>
      </c>
      <c r="H86" s="60">
        <v>46</v>
      </c>
      <c r="I86" s="5">
        <v>1.6000000000000001E-3</v>
      </c>
      <c r="J86" s="5">
        <v>9.1000000000000004E-3</v>
      </c>
      <c r="K86" s="2">
        <v>80774826.579999998</v>
      </c>
      <c r="L86" s="3">
        <f t="shared" si="20"/>
        <v>2.8002195828496411E-4</v>
      </c>
      <c r="M86" s="2">
        <v>101.06743529048939</v>
      </c>
      <c r="N86" s="2">
        <v>101.06743529048939</v>
      </c>
      <c r="O86" s="60">
        <v>49</v>
      </c>
      <c r="P86" s="5">
        <v>1.5529035224597183E-3</v>
      </c>
      <c r="Q86" s="5">
        <v>1.0674352904893825E-2</v>
      </c>
      <c r="R86" s="80">
        <f t="shared" ref="R86" si="35">((K86-D86)/D86)</f>
        <v>8.4497341294503293E-3</v>
      </c>
      <c r="S86" s="80">
        <f t="shared" ref="S86" si="36">((N86-G86)/G86)</f>
        <v>1.5529035224597183E-3</v>
      </c>
      <c r="T86" s="80">
        <f t="shared" ref="T86" si="37">((O86-H86)/H86)</f>
        <v>6.5217391304347824E-2</v>
      </c>
      <c r="U86" s="81">
        <f t="shared" ref="U86" si="38">P86-I86</f>
        <v>-4.7096477540281784E-5</v>
      </c>
      <c r="V86" s="83">
        <f t="shared" ref="V86" si="39">Q86-J86</f>
        <v>1.5743529048938242E-3</v>
      </c>
    </row>
    <row r="87" spans="1:29" ht="15.75" customHeight="1">
      <c r="A87" s="133">
        <v>76</v>
      </c>
      <c r="B87" s="119" t="s">
        <v>127</v>
      </c>
      <c r="C87" s="120" t="s">
        <v>32</v>
      </c>
      <c r="D87" s="2">
        <v>9189379226.4193993</v>
      </c>
      <c r="E87" s="3">
        <f t="shared" si="31"/>
        <v>3.1476067738096906E-2</v>
      </c>
      <c r="F87" s="14">
        <v>1</v>
      </c>
      <c r="G87" s="14">
        <v>1</v>
      </c>
      <c r="H87" s="60">
        <v>5516</v>
      </c>
      <c r="I87" s="5">
        <v>0.06</v>
      </c>
      <c r="J87" s="5">
        <v>0.06</v>
      </c>
      <c r="K87" s="2">
        <v>9084544257.0037994</v>
      </c>
      <c r="L87" s="3">
        <f t="shared" si="20"/>
        <v>3.1493374615334621E-2</v>
      </c>
      <c r="M87" s="14">
        <v>1</v>
      </c>
      <c r="N87" s="14">
        <v>1</v>
      </c>
      <c r="O87" s="60">
        <v>5519</v>
      </c>
      <c r="P87" s="5">
        <v>0.06</v>
      </c>
      <c r="Q87" s="5">
        <v>0.06</v>
      </c>
      <c r="R87" s="80">
        <f t="shared" si="26"/>
        <v>-1.1408275448487319E-2</v>
      </c>
      <c r="S87" s="80">
        <f t="shared" si="27"/>
        <v>0</v>
      </c>
      <c r="T87" s="80">
        <f t="shared" si="28"/>
        <v>5.4387237128353878E-4</v>
      </c>
      <c r="U87" s="81">
        <f t="shared" si="29"/>
        <v>0</v>
      </c>
      <c r="V87" s="83">
        <f t="shared" si="30"/>
        <v>0</v>
      </c>
    </row>
    <row r="88" spans="1:29">
      <c r="A88" s="125">
        <v>77</v>
      </c>
      <c r="B88" s="119" t="s">
        <v>128</v>
      </c>
      <c r="C88" s="120" t="s">
        <v>91</v>
      </c>
      <c r="D88" s="2">
        <v>2634977347.27</v>
      </c>
      <c r="E88" s="3">
        <f t="shared" si="31"/>
        <v>9.0254981786553317E-3</v>
      </c>
      <c r="F88" s="14">
        <v>25.292999999999999</v>
      </c>
      <c r="G88" s="14">
        <v>25.292999999999999</v>
      </c>
      <c r="H88" s="60">
        <v>1318</v>
      </c>
      <c r="I88" s="5">
        <v>0</v>
      </c>
      <c r="J88" s="5">
        <v>0.1052</v>
      </c>
      <c r="K88" s="2">
        <v>2658871959.5799999</v>
      </c>
      <c r="L88" s="3">
        <f t="shared" si="20"/>
        <v>9.2175070436477016E-3</v>
      </c>
      <c r="M88" s="14">
        <v>25.3339</v>
      </c>
      <c r="N88" s="14">
        <v>25.3339</v>
      </c>
      <c r="O88" s="60">
        <v>1321</v>
      </c>
      <c r="P88" s="5">
        <v>0</v>
      </c>
      <c r="Q88" s="5">
        <v>0.1042</v>
      </c>
      <c r="R88" s="80">
        <f t="shared" si="26"/>
        <v>9.0682420229366463E-3</v>
      </c>
      <c r="S88" s="80">
        <f t="shared" si="27"/>
        <v>1.617048195152833E-3</v>
      </c>
      <c r="T88" s="80">
        <f t="shared" si="28"/>
        <v>2.276176024279211E-3</v>
      </c>
      <c r="U88" s="81">
        <f t="shared" si="29"/>
        <v>0</v>
      </c>
      <c r="V88" s="83">
        <f t="shared" si="30"/>
        <v>-1.0000000000000009E-3</v>
      </c>
    </row>
    <row r="89" spans="1:29">
      <c r="A89" s="75"/>
      <c r="B89" s="19"/>
      <c r="C89" s="71" t="s">
        <v>46</v>
      </c>
      <c r="D89" s="59">
        <f>SUM(D58:D88)</f>
        <v>291948133511.51477</v>
      </c>
      <c r="E89" s="104">
        <f>(D89/$D$177)</f>
        <v>0.13768659682535175</v>
      </c>
      <c r="F89" s="30"/>
      <c r="G89" s="11"/>
      <c r="H89" s="65">
        <f>SUM(H58:H88)</f>
        <v>64112</v>
      </c>
      <c r="I89" s="12"/>
      <c r="J89" s="12"/>
      <c r="K89" s="59">
        <f>SUM(K58:K88)</f>
        <v>288458901847.26001</v>
      </c>
      <c r="L89" s="104">
        <f>(K89/$K$177)</f>
        <v>0.12809630353912438</v>
      </c>
      <c r="M89" s="30"/>
      <c r="N89" s="11"/>
      <c r="O89" s="65">
        <f>SUM(O58:O88)</f>
        <v>64184</v>
      </c>
      <c r="P89" s="12"/>
      <c r="Q89" s="12"/>
      <c r="R89" s="80">
        <f t="shared" si="26"/>
        <v>-1.1951546400679905E-2</v>
      </c>
      <c r="S89" s="80" t="e">
        <f t="shared" si="27"/>
        <v>#DIV/0!</v>
      </c>
      <c r="T89" s="80">
        <f t="shared" si="28"/>
        <v>1.123034689293736E-3</v>
      </c>
      <c r="U89" s="81">
        <f t="shared" si="29"/>
        <v>0</v>
      </c>
      <c r="V89" s="83">
        <f t="shared" si="30"/>
        <v>0</v>
      </c>
    </row>
    <row r="90" spans="1:29" ht="8.25" customHeight="1">
      <c r="A90" s="142"/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</row>
    <row r="91" spans="1:29" ht="15" customHeight="1">
      <c r="A91" s="140" t="s">
        <v>129</v>
      </c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</row>
    <row r="92" spans="1:29">
      <c r="A92" s="141" t="s">
        <v>231</v>
      </c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Z92" s="98"/>
      <c r="AA92" s="98"/>
      <c r="AB92" s="107"/>
      <c r="AC92" s="98"/>
    </row>
    <row r="93" spans="1:29" ht="16.5" customHeight="1">
      <c r="A93" s="133">
        <v>78</v>
      </c>
      <c r="B93" s="119" t="s">
        <v>130</v>
      </c>
      <c r="C93" s="120" t="s">
        <v>17</v>
      </c>
      <c r="D93" s="2">
        <v>1665511319.48</v>
      </c>
      <c r="E93" s="3">
        <f>(D93/$D$116)</f>
        <v>2.2222010346723553E-3</v>
      </c>
      <c r="F93" s="2">
        <f>109.7295*953.139</f>
        <v>104587.4659005</v>
      </c>
      <c r="G93" s="2">
        <f>109.7295*953.139</f>
        <v>104587.4659005</v>
      </c>
      <c r="H93" s="60">
        <v>227</v>
      </c>
      <c r="I93" s="5">
        <v>1E-3</v>
      </c>
      <c r="J93" s="5">
        <v>6.0100000000000001E-2</v>
      </c>
      <c r="K93" s="2">
        <v>1557290591.6800001</v>
      </c>
      <c r="L93" s="3">
        <f t="shared" ref="L93:L104" si="40">(K93/$K$116)</f>
        <v>1.7654478862626668E-3</v>
      </c>
      <c r="M93" s="2">
        <v>109.85290000000001</v>
      </c>
      <c r="N93" s="2">
        <v>109.85290000000001</v>
      </c>
      <c r="O93" s="60">
        <v>229</v>
      </c>
      <c r="P93" s="5">
        <v>1.1000000000000001E-3</v>
      </c>
      <c r="Q93" s="5">
        <v>6.1199999999999997E-2</v>
      </c>
      <c r="R93" s="81">
        <f t="shared" ref="R93" si="41">((K93-D93)/D93)</f>
        <v>-6.4977479608957708E-2</v>
      </c>
      <c r="S93" s="81">
        <f t="shared" ref="S93" si="42">((N93-G93)/G93)</f>
        <v>-0.99894965520911938</v>
      </c>
      <c r="T93" s="81">
        <f t="shared" ref="T93" si="43">((O93-H93)/H93)</f>
        <v>8.8105726872246704E-3</v>
      </c>
      <c r="U93" s="81">
        <f t="shared" ref="U93" si="44">P93-I93</f>
        <v>1.0000000000000005E-4</v>
      </c>
      <c r="V93" s="83">
        <f t="shared" ref="V93" si="45">Q93-J93</f>
        <v>1.0999999999999968E-3</v>
      </c>
      <c r="Z93" s="98"/>
      <c r="AA93" s="108"/>
      <c r="AB93" s="98"/>
      <c r="AC93" s="98"/>
    </row>
    <row r="94" spans="1:29">
      <c r="A94" s="125">
        <v>79</v>
      </c>
      <c r="B94" s="119" t="s">
        <v>131</v>
      </c>
      <c r="C94" s="120" t="s">
        <v>21</v>
      </c>
      <c r="D94" s="2">
        <f>10341678.41*952.639</f>
        <v>9851886178.8239899</v>
      </c>
      <c r="E94" s="3">
        <f>(D94/$D$116)</f>
        <v>1.3144835104988815E-2</v>
      </c>
      <c r="F94" s="2">
        <f>1.1699*952.639</f>
        <v>1114.4923661</v>
      </c>
      <c r="G94" s="2">
        <f>1.1699*952.639</f>
        <v>1114.4923661</v>
      </c>
      <c r="H94" s="60">
        <v>276</v>
      </c>
      <c r="I94" s="5">
        <v>7.1400000000000005E-2</v>
      </c>
      <c r="J94" s="5">
        <v>4.3200000000000002E-2</v>
      </c>
      <c r="K94" s="2">
        <f>10446632.72*1012.62</f>
        <v>10578469224.926401</v>
      </c>
      <c r="L94" s="3">
        <f t="shared" si="40"/>
        <v>1.1992454223263277E-2</v>
      </c>
      <c r="M94" s="2">
        <f>1.1711*1021.62</f>
        <v>1196.4191820000001</v>
      </c>
      <c r="N94" s="2">
        <f>1.1711*1021.62</f>
        <v>1196.4191820000001</v>
      </c>
      <c r="O94" s="60">
        <v>284</v>
      </c>
      <c r="P94" s="5">
        <v>5.3499999999999999E-2</v>
      </c>
      <c r="Q94" s="5">
        <v>4.3400000000000001E-2</v>
      </c>
      <c r="R94" s="81">
        <f t="shared" ref="R94:R104" si="46">((K94-D94)/D94)</f>
        <v>7.3750653723969717E-2</v>
      </c>
      <c r="S94" s="81">
        <f t="shared" ref="S94:S104" si="47">((N94-G94)/G94)</f>
        <v>7.3510432544900015E-2</v>
      </c>
      <c r="T94" s="81">
        <f t="shared" ref="T94:T104" si="48">((O94-H94)/H94)</f>
        <v>2.8985507246376812E-2</v>
      </c>
      <c r="U94" s="81">
        <f t="shared" ref="U94:U104" si="49">P94-I94</f>
        <v>-1.7900000000000006E-2</v>
      </c>
      <c r="V94" s="83">
        <f t="shared" ref="V94:V104" si="50">Q94-J94</f>
        <v>1.9999999999999879E-4</v>
      </c>
      <c r="Z94" s="98"/>
      <c r="AA94" s="98"/>
      <c r="AB94" s="98"/>
      <c r="AC94" s="98"/>
    </row>
    <row r="95" spans="1:29">
      <c r="A95" s="133">
        <v>80</v>
      </c>
      <c r="B95" s="119" t="s">
        <v>244</v>
      </c>
      <c r="C95" s="120" t="s">
        <v>25</v>
      </c>
      <c r="D95" s="2">
        <f>351514.62*953.139</f>
        <v>335042293.39218003</v>
      </c>
      <c r="E95" s="3">
        <v>0</v>
      </c>
      <c r="F95" s="2">
        <f>1.0929*953.139</f>
        <v>1041.6856131</v>
      </c>
      <c r="G95" s="2">
        <f>1.0929*953.139</f>
        <v>1041.6856131</v>
      </c>
      <c r="H95" s="60">
        <v>18</v>
      </c>
      <c r="I95" s="5">
        <v>1.85E-4</v>
      </c>
      <c r="J95" s="5">
        <v>9.2700000000000005E-2</v>
      </c>
      <c r="K95" s="2">
        <f>372662.71*1013.12</f>
        <v>377552044.75520003</v>
      </c>
      <c r="L95" s="3">
        <f t="shared" si="40"/>
        <v>4.2801803525194699E-4</v>
      </c>
      <c r="M95" s="2">
        <f>1.0942*1013.12</f>
        <v>1108.5559040000001</v>
      </c>
      <c r="N95" s="2">
        <f>1.0942*1013.12</f>
        <v>1108.5559040000001</v>
      </c>
      <c r="O95" s="60">
        <v>19</v>
      </c>
      <c r="P95" s="5">
        <v>1.85E-4</v>
      </c>
      <c r="Q95" s="5">
        <v>9.4200000000000006E-2</v>
      </c>
      <c r="R95" s="81">
        <f t="shared" ref="R95" si="51">((K95-D95)/D95)</f>
        <v>0.12687876187995373</v>
      </c>
      <c r="S95" s="81">
        <f t="shared" ref="S95" si="52">((N95-G95)/G95)</f>
        <v>6.4194311660883685E-2</v>
      </c>
      <c r="T95" s="81">
        <f t="shared" ref="T95" si="53">((O95-H95)/H95)</f>
        <v>5.5555555555555552E-2</v>
      </c>
      <c r="U95" s="81">
        <f t="shared" ref="U95" si="54">P95-I95</f>
        <v>0</v>
      </c>
      <c r="V95" s="83">
        <f t="shared" si="50"/>
        <v>1.5000000000000013E-3</v>
      </c>
      <c r="Z95" s="98"/>
      <c r="AA95" s="98"/>
      <c r="AB95" s="98"/>
      <c r="AC95" s="98"/>
    </row>
    <row r="96" spans="1:29">
      <c r="A96" s="136">
        <v>81</v>
      </c>
      <c r="B96" s="119" t="s">
        <v>140</v>
      </c>
      <c r="C96" s="120" t="s">
        <v>64</v>
      </c>
      <c r="D96" s="2">
        <f>292740.53*953.139</f>
        <v>279022416.02367002</v>
      </c>
      <c r="E96" s="3">
        <f t="shared" ref="E96:E104" si="55">(D96/$D$116)</f>
        <v>3.722844115992966E-4</v>
      </c>
      <c r="F96" s="2">
        <f>101.58*953.139</f>
        <v>96819.859620000003</v>
      </c>
      <c r="G96" s="2">
        <f>102.21*953.139</f>
        <v>97420.337189999991</v>
      </c>
      <c r="H96" s="60">
        <v>34</v>
      </c>
      <c r="I96" s="5">
        <v>2.5000000000000001E-3</v>
      </c>
      <c r="J96" s="5">
        <v>1.89E-2</v>
      </c>
      <c r="K96" s="2">
        <f>293046.23*1013.12</f>
        <v>296890996.53759998</v>
      </c>
      <c r="L96" s="3">
        <f t="shared" si="40"/>
        <v>3.3657532196497512E-4</v>
      </c>
      <c r="M96" s="2">
        <f>101.69*1013.12</f>
        <v>103024.1728</v>
      </c>
      <c r="N96" s="2">
        <f>102.37*1013.12</f>
        <v>103713.0944</v>
      </c>
      <c r="O96" s="60">
        <v>32</v>
      </c>
      <c r="P96" s="5">
        <v>1.4E-3</v>
      </c>
      <c r="Q96" s="5">
        <v>2.0299999999999999E-2</v>
      </c>
      <c r="R96" s="81">
        <f t="shared" ref="R96" si="56">((K96-D96)/D96)</f>
        <v>6.4039946211397358E-2</v>
      </c>
      <c r="S96" s="81">
        <f t="shared" ref="S96" si="57">((N96-G96)/G96)</f>
        <v>6.4593876304566408E-2</v>
      </c>
      <c r="T96" s="81">
        <f t="shared" ref="T96" si="58">((O96-H96)/H96)</f>
        <v>-5.8823529411764705E-2</v>
      </c>
      <c r="U96" s="81">
        <f t="shared" ref="U96" si="59">P96-I96</f>
        <v>-1.1000000000000001E-3</v>
      </c>
      <c r="V96" s="83">
        <f t="shared" ref="V96" si="60">Q96-J96</f>
        <v>1.3999999999999985E-3</v>
      </c>
      <c r="Z96" s="98"/>
      <c r="AA96" s="98"/>
      <c r="AB96" s="98"/>
      <c r="AC96" s="98"/>
    </row>
    <row r="97" spans="1:24">
      <c r="A97" s="137">
        <v>82</v>
      </c>
      <c r="B97" s="119" t="s">
        <v>132</v>
      </c>
      <c r="C97" s="120" t="s">
        <v>67</v>
      </c>
      <c r="D97" s="2">
        <v>2512307252.0135698</v>
      </c>
      <c r="E97" s="3">
        <f t="shared" si="55"/>
        <v>3.3520347232359098E-3</v>
      </c>
      <c r="F97" s="2">
        <v>101962.04452499999</v>
      </c>
      <c r="G97" s="2">
        <v>101962.04452499999</v>
      </c>
      <c r="H97" s="60">
        <v>44</v>
      </c>
      <c r="I97" s="5">
        <v>1.1979746740666572E-3</v>
      </c>
      <c r="J97" s="5">
        <v>5.7957843221637932E-2</v>
      </c>
      <c r="K97" s="2">
        <v>2670406649.1455998</v>
      </c>
      <c r="L97" s="3">
        <f t="shared" si="40"/>
        <v>3.0273500651602355E-3</v>
      </c>
      <c r="M97" s="2">
        <v>108507.887424</v>
      </c>
      <c r="N97" s="2">
        <v>108507.887424</v>
      </c>
      <c r="O97" s="60">
        <v>44</v>
      </c>
      <c r="P97" s="5">
        <v>1.1937368544052758E-3</v>
      </c>
      <c r="Q97" s="5">
        <v>5.8069782609332717E-2</v>
      </c>
      <c r="R97" s="81">
        <f t="shared" si="46"/>
        <v>6.2929960897623538E-2</v>
      </c>
      <c r="S97" s="81">
        <f t="shared" si="47"/>
        <v>6.4198819565598655E-2</v>
      </c>
      <c r="T97" s="81">
        <f t="shared" si="48"/>
        <v>0</v>
      </c>
      <c r="U97" s="81">
        <f t="shared" si="49"/>
        <v>-4.2378196613813372E-6</v>
      </c>
      <c r="V97" s="83">
        <f t="shared" si="50"/>
        <v>1.119393876947844E-4</v>
      </c>
      <c r="X97" s="130">
        <v>1013.12</v>
      </c>
    </row>
    <row r="98" spans="1:24">
      <c r="A98" s="133">
        <v>83</v>
      </c>
      <c r="B98" s="119" t="s">
        <v>133</v>
      </c>
      <c r="C98" s="120" t="s">
        <v>27</v>
      </c>
      <c r="D98" s="2">
        <v>26446824053.860001</v>
      </c>
      <c r="E98" s="3">
        <f t="shared" si="55"/>
        <v>3.5286556800247046E-2</v>
      </c>
      <c r="F98" s="2">
        <v>114229.81</v>
      </c>
      <c r="G98" s="2">
        <v>114229.81</v>
      </c>
      <c r="H98" s="60">
        <v>1974</v>
      </c>
      <c r="I98" s="5">
        <v>1.5E-3</v>
      </c>
      <c r="J98" s="5">
        <v>7.3899999999999993E-2</v>
      </c>
      <c r="K98" s="2">
        <v>31348895023.02</v>
      </c>
      <c r="L98" s="3">
        <f t="shared" si="40"/>
        <v>3.55391862962166E-2</v>
      </c>
      <c r="M98" s="2">
        <v>135688.71</v>
      </c>
      <c r="N98" s="2">
        <v>135688.71</v>
      </c>
      <c r="O98" s="60">
        <v>1982</v>
      </c>
      <c r="P98" s="5">
        <v>2.0999999999999999E-3</v>
      </c>
      <c r="Q98" s="5">
        <v>7.5499999999999998E-2</v>
      </c>
      <c r="R98" s="81">
        <f t="shared" si="46"/>
        <v>0.18535575232688578</v>
      </c>
      <c r="S98" s="81">
        <f t="shared" si="47"/>
        <v>0.18785726773072628</v>
      </c>
      <c r="T98" s="81">
        <f t="shared" si="48"/>
        <v>4.0526849037487338E-3</v>
      </c>
      <c r="U98" s="81">
        <f t="shared" si="49"/>
        <v>5.9999999999999984E-4</v>
      </c>
      <c r="V98" s="83">
        <f t="shared" si="50"/>
        <v>1.6000000000000042E-3</v>
      </c>
    </row>
    <row r="99" spans="1:24">
      <c r="A99" s="133">
        <v>84</v>
      </c>
      <c r="B99" s="135" t="s">
        <v>134</v>
      </c>
      <c r="C99" s="135" t="s">
        <v>27</v>
      </c>
      <c r="D99" s="2">
        <v>25515098080.470001</v>
      </c>
      <c r="E99" s="3">
        <f t="shared" si="55"/>
        <v>3.4043405584232016E-2</v>
      </c>
      <c r="F99" s="2">
        <v>102890.27</v>
      </c>
      <c r="G99" s="2">
        <v>102890.27</v>
      </c>
      <c r="H99" s="60">
        <v>201</v>
      </c>
      <c r="I99" s="5">
        <v>1.9E-3</v>
      </c>
      <c r="J99" s="5">
        <v>9.1700000000000004E-2</v>
      </c>
      <c r="K99" s="2">
        <v>31206204843.419998</v>
      </c>
      <c r="L99" s="3">
        <f t="shared" si="40"/>
        <v>3.5377423246140308E-2</v>
      </c>
      <c r="M99" s="2">
        <v>122170.4</v>
      </c>
      <c r="N99" s="2">
        <v>122170.4</v>
      </c>
      <c r="O99" s="60">
        <v>208</v>
      </c>
      <c r="P99" s="5">
        <v>1.6999999999999999E-3</v>
      </c>
      <c r="Q99" s="5">
        <v>9.6000000000000002E-2</v>
      </c>
      <c r="R99" s="81">
        <f t="shared" si="46"/>
        <v>0.22304859440482167</v>
      </c>
      <c r="S99" s="81">
        <f t="shared" si="47"/>
        <v>0.1873853572354314</v>
      </c>
      <c r="T99" s="81">
        <f t="shared" si="48"/>
        <v>3.482587064676617E-2</v>
      </c>
      <c r="U99" s="81">
        <f t="shared" si="49"/>
        <v>-2.0000000000000009E-4</v>
      </c>
      <c r="V99" s="83">
        <f t="shared" si="50"/>
        <v>4.2999999999999983E-3</v>
      </c>
    </row>
    <row r="100" spans="1:24">
      <c r="A100" s="125">
        <v>85</v>
      </c>
      <c r="B100" s="119" t="s">
        <v>135</v>
      </c>
      <c r="C100" s="120" t="s">
        <v>31</v>
      </c>
      <c r="D100" s="2">
        <f>92070.46*953.139</f>
        <v>87755946.173940003</v>
      </c>
      <c r="E100" s="3">
        <f t="shared" si="55"/>
        <v>1.170879789921012E-4</v>
      </c>
      <c r="F100" s="2">
        <f>109.75*953.139</f>
        <v>104607.00525</v>
      </c>
      <c r="G100" s="2">
        <f>109.75*953.139</f>
        <v>104607.00525</v>
      </c>
      <c r="H100" s="60">
        <v>3</v>
      </c>
      <c r="I100" s="5">
        <v>1.3299999999999999E-2</v>
      </c>
      <c r="J100" s="5">
        <v>0.11899999999999999</v>
      </c>
      <c r="K100" s="2">
        <f>92070.46*1013.12</f>
        <v>93278424.435200006</v>
      </c>
      <c r="L100" s="3">
        <f t="shared" si="40"/>
        <v>1.0574660768699658E-4</v>
      </c>
      <c r="M100" s="2">
        <f>109.75*1013.12</f>
        <v>111189.92</v>
      </c>
      <c r="N100" s="2">
        <f>109.75*1013.12</f>
        <v>111189.92</v>
      </c>
      <c r="O100" s="60">
        <v>3</v>
      </c>
      <c r="P100" s="5">
        <v>1.3299999999999999E-2</v>
      </c>
      <c r="Q100" s="5">
        <v>0.11899999999999999</v>
      </c>
      <c r="R100" s="81">
        <f t="shared" si="46"/>
        <v>6.2929960897623566E-2</v>
      </c>
      <c r="S100" s="81">
        <f t="shared" si="47"/>
        <v>6.2929960897623496E-2</v>
      </c>
      <c r="T100" s="81">
        <f t="shared" si="48"/>
        <v>0</v>
      </c>
      <c r="U100" s="81">
        <f t="shared" si="49"/>
        <v>0</v>
      </c>
      <c r="V100" s="83">
        <f t="shared" si="50"/>
        <v>0</v>
      </c>
    </row>
    <row r="101" spans="1:24">
      <c r="A101" s="133">
        <v>86</v>
      </c>
      <c r="B101" s="119" t="s">
        <v>136</v>
      </c>
      <c r="C101" s="120" t="s">
        <v>34</v>
      </c>
      <c r="D101" s="2">
        <f>12848139.52*953.139</f>
        <v>12246062853.953279</v>
      </c>
      <c r="E101" s="3">
        <f t="shared" si="55"/>
        <v>1.6339254633954747E-2</v>
      </c>
      <c r="F101" s="2">
        <f>1.32*953.139</f>
        <v>1258.1434800000002</v>
      </c>
      <c r="G101" s="2">
        <f>1.32*953.139</f>
        <v>1258.1434800000002</v>
      </c>
      <c r="H101" s="61">
        <v>117</v>
      </c>
      <c r="I101" s="12">
        <v>2.9700000000000001E-2</v>
      </c>
      <c r="J101" s="12">
        <v>5.0900000000000001E-2</v>
      </c>
      <c r="K101" s="2">
        <f>11765244.51*1013.12</f>
        <v>11919604517.971199</v>
      </c>
      <c r="L101" s="3">
        <f t="shared" si="40"/>
        <v>1.3512854128681013E-2</v>
      </c>
      <c r="M101" s="2">
        <f>1.32*1013.12</f>
        <v>1337.3184000000001</v>
      </c>
      <c r="N101" s="2">
        <f>1.32*1013.12</f>
        <v>1337.3184000000001</v>
      </c>
      <c r="O101" s="61">
        <v>116</v>
      </c>
      <c r="P101" s="12">
        <v>2.9700000000000001E-2</v>
      </c>
      <c r="Q101" s="12">
        <v>4.9799999999999997E-2</v>
      </c>
      <c r="R101" s="81">
        <f t="shared" si="46"/>
        <v>-2.6658228026054352E-2</v>
      </c>
      <c r="S101" s="81">
        <f t="shared" si="47"/>
        <v>6.2929960897623469E-2</v>
      </c>
      <c r="T101" s="81">
        <f t="shared" si="48"/>
        <v>-8.5470085470085479E-3</v>
      </c>
      <c r="U101" s="81">
        <f t="shared" si="49"/>
        <v>0</v>
      </c>
      <c r="V101" s="83">
        <f t="shared" si="50"/>
        <v>-1.1000000000000038E-3</v>
      </c>
    </row>
    <row r="102" spans="1:24">
      <c r="A102" s="131">
        <v>87</v>
      </c>
      <c r="B102" s="119" t="s">
        <v>137</v>
      </c>
      <c r="C102" s="120" t="s">
        <v>78</v>
      </c>
      <c r="D102" s="2">
        <f>7869620.4*953.139</f>
        <v>7500842118.4356003</v>
      </c>
      <c r="E102" s="3">
        <f t="shared" si="55"/>
        <v>1.0007965074476776E-2</v>
      </c>
      <c r="F102" s="2">
        <f>103.15*953.139</f>
        <v>98316.287850000008</v>
      </c>
      <c r="G102" s="2">
        <f>103.15*953.139</f>
        <v>98316.287850000008</v>
      </c>
      <c r="H102" s="60">
        <v>219</v>
      </c>
      <c r="I102" s="5">
        <v>1.9E-3</v>
      </c>
      <c r="J102" s="5">
        <v>8.7900000000000006E-2</v>
      </c>
      <c r="K102" s="2">
        <f>7988073.58*1013.12</f>
        <v>8092877105.3696003</v>
      </c>
      <c r="L102" s="3">
        <f t="shared" si="40"/>
        <v>9.1746221647977244E-3</v>
      </c>
      <c r="M102" s="2">
        <f>103.35*1013.12</f>
        <v>104705.95199999999</v>
      </c>
      <c r="N102" s="2">
        <f>103.35*1013.12</f>
        <v>104705.95199999999</v>
      </c>
      <c r="O102" s="60">
        <v>220</v>
      </c>
      <c r="P102" s="5">
        <v>1.9E-3</v>
      </c>
      <c r="Q102" s="5">
        <v>0.09</v>
      </c>
      <c r="R102" s="81">
        <f t="shared" si="46"/>
        <v>7.8929135900473624E-2</v>
      </c>
      <c r="S102" s="81">
        <f t="shared" si="47"/>
        <v>6.4990901199896978E-2</v>
      </c>
      <c r="T102" s="81">
        <f t="shared" si="48"/>
        <v>4.5662100456621002E-3</v>
      </c>
      <c r="U102" s="81">
        <f t="shared" si="49"/>
        <v>0</v>
      </c>
      <c r="V102" s="83">
        <f t="shared" si="50"/>
        <v>2.0999999999999908E-3</v>
      </c>
    </row>
    <row r="103" spans="1:24">
      <c r="A103" s="134">
        <v>88</v>
      </c>
      <c r="B103" s="119" t="s">
        <v>138</v>
      </c>
      <c r="C103" s="120" t="s">
        <v>38</v>
      </c>
      <c r="D103" s="2">
        <f>1789501.88*953.139</f>
        <v>1705644032.40132</v>
      </c>
      <c r="E103" s="3">
        <f t="shared" si="55"/>
        <v>2.2757479275303458E-3</v>
      </c>
      <c r="F103" s="2">
        <f>128.06*953.139</f>
        <v>122058.98034000001</v>
      </c>
      <c r="G103" s="2">
        <f>131.08*953.139</f>
        <v>124937.46012000002</v>
      </c>
      <c r="H103" s="60">
        <v>45</v>
      </c>
      <c r="I103" s="5">
        <v>4.0000000000000002E-4</v>
      </c>
      <c r="J103" s="5">
        <v>0.14940000000000001</v>
      </c>
      <c r="K103" s="2">
        <f>1809717.83*1013.12</f>
        <v>1833461327.9296</v>
      </c>
      <c r="L103" s="3">
        <f t="shared" si="40"/>
        <v>2.0785333471036501E-3</v>
      </c>
      <c r="M103" s="2">
        <f>128.27*1013.12</f>
        <v>129952.90240000001</v>
      </c>
      <c r="N103" s="2">
        <f>131.31*1013.12</f>
        <v>133032.78719999999</v>
      </c>
      <c r="O103" s="60">
        <v>45</v>
      </c>
      <c r="P103" s="5">
        <v>4.0000000000000002E-4</v>
      </c>
      <c r="Q103" s="5">
        <v>0.15140000000000001</v>
      </c>
      <c r="R103" s="81">
        <f t="shared" si="46"/>
        <v>7.4937849340304771E-2</v>
      </c>
      <c r="S103" s="81">
        <f t="shared" si="47"/>
        <v>6.4795034829622497E-2</v>
      </c>
      <c r="T103" s="81">
        <f t="shared" si="48"/>
        <v>0</v>
      </c>
      <c r="U103" s="81">
        <f t="shared" si="49"/>
        <v>0</v>
      </c>
      <c r="V103" s="83">
        <f t="shared" si="50"/>
        <v>2.0000000000000018E-3</v>
      </c>
    </row>
    <row r="104" spans="1:24" ht="16.5" customHeight="1">
      <c r="A104" s="129">
        <v>89</v>
      </c>
      <c r="B104" s="119" t="s">
        <v>139</v>
      </c>
      <c r="C104" s="120" t="s">
        <v>45</v>
      </c>
      <c r="D104" s="2">
        <v>134382816553.81799</v>
      </c>
      <c r="E104" s="3">
        <f t="shared" si="55"/>
        <v>0.1792996724161055</v>
      </c>
      <c r="F104" s="2">
        <v>114773.42</v>
      </c>
      <c r="G104" s="2">
        <v>114773.42</v>
      </c>
      <c r="H104" s="60">
        <v>2969</v>
      </c>
      <c r="I104" s="5">
        <v>1E-3</v>
      </c>
      <c r="J104" s="5">
        <v>5.0900000000000001E-2</v>
      </c>
      <c r="K104" s="2">
        <v>160736138444.35999</v>
      </c>
      <c r="L104" s="3">
        <f t="shared" si="40"/>
        <v>0.18222114573779527</v>
      </c>
      <c r="M104" s="2">
        <v>136185.81</v>
      </c>
      <c r="N104" s="2">
        <v>136185.81</v>
      </c>
      <c r="O104" s="60">
        <v>2976</v>
      </c>
      <c r="P104" s="5">
        <v>5.5399999999999998E-2</v>
      </c>
      <c r="Q104" s="5">
        <v>5.5399999999999998E-2</v>
      </c>
      <c r="R104" s="81">
        <f t="shared" si="46"/>
        <v>0.19610633685436965</v>
      </c>
      <c r="S104" s="81">
        <f t="shared" si="47"/>
        <v>0.18656227199642564</v>
      </c>
      <c r="T104" s="81">
        <f t="shared" si="48"/>
        <v>2.3576961940047153E-3</v>
      </c>
      <c r="U104" s="81">
        <f t="shared" si="49"/>
        <v>5.4399999999999997E-2</v>
      </c>
      <c r="V104" s="83">
        <f t="shared" si="50"/>
        <v>4.4999999999999971E-3</v>
      </c>
    </row>
    <row r="105" spans="1:24" ht="6" customHeight="1">
      <c r="A105" s="142"/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</row>
    <row r="106" spans="1:24">
      <c r="A106" s="141" t="s">
        <v>232</v>
      </c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</row>
    <row r="107" spans="1:24">
      <c r="A107" s="125">
        <v>90</v>
      </c>
      <c r="B107" s="119" t="s">
        <v>141</v>
      </c>
      <c r="C107" s="120" t="s">
        <v>97</v>
      </c>
      <c r="D107" s="4">
        <v>769958246.04999995</v>
      </c>
      <c r="E107" s="3">
        <f>(D107/$D$116)</f>
        <v>1.027313348768488E-3</v>
      </c>
      <c r="F107" s="2">
        <v>79249.98</v>
      </c>
      <c r="G107" s="2">
        <v>79249.98</v>
      </c>
      <c r="H107" s="60">
        <v>27</v>
      </c>
      <c r="I107" s="5">
        <v>1.2200000000000001E-2</v>
      </c>
      <c r="J107" s="5">
        <v>0.1358</v>
      </c>
      <c r="K107" s="4">
        <v>770785335.71000004</v>
      </c>
      <c r="L107" s="3">
        <f t="shared" ref="L107:L115" si="61">(K107/$K$116)</f>
        <v>8.7381337109567522E-4</v>
      </c>
      <c r="M107" s="2">
        <v>79249.98</v>
      </c>
      <c r="N107" s="2">
        <v>79249.98</v>
      </c>
      <c r="O107" s="60">
        <v>29</v>
      </c>
      <c r="P107" s="5">
        <v>3.0000000000000001E-3</v>
      </c>
      <c r="Q107" s="5">
        <v>0.1391</v>
      </c>
      <c r="R107" s="81">
        <f t="shared" ref="R107" si="62">((K107-D107)/D107)</f>
        <v>1.0742006650921378E-3</v>
      </c>
      <c r="S107" s="81">
        <f t="shared" ref="S107" si="63">((N107-G107)/G107)</f>
        <v>0</v>
      </c>
      <c r="T107" s="81">
        <f t="shared" ref="T107" si="64">((O107-H107)/H107)</f>
        <v>7.407407407407407E-2</v>
      </c>
      <c r="U107" s="81">
        <f t="shared" ref="U107" si="65">P107-I107</f>
        <v>-9.1999999999999998E-3</v>
      </c>
      <c r="V107" s="83">
        <f t="shared" ref="V107" si="66">Q107-J107</f>
        <v>3.2999999999999974E-3</v>
      </c>
    </row>
    <row r="108" spans="1:24">
      <c r="A108" s="136">
        <v>91</v>
      </c>
      <c r="B108" s="120" t="s">
        <v>142</v>
      </c>
      <c r="C108" s="120" t="s">
        <v>23</v>
      </c>
      <c r="D108" s="2">
        <f>6589484.97*953.139</f>
        <v>6280695114.8208294</v>
      </c>
      <c r="E108" s="3">
        <f>(D108/$K$116)</f>
        <v>7.1202124856856244E-3</v>
      </c>
      <c r="F108" s="4">
        <f>131.12*953.139</f>
        <v>124975.58568</v>
      </c>
      <c r="G108" s="4">
        <f>131.12*953.139</f>
        <v>124975.58568</v>
      </c>
      <c r="H108" s="60">
        <v>333</v>
      </c>
      <c r="I108" s="5">
        <v>5.0000000000000001E-4</v>
      </c>
      <c r="J108" s="5">
        <v>5.4600000000000003E-2</v>
      </c>
      <c r="K108" s="2">
        <f>6603939.09*1013.12</f>
        <v>6690582770.8607998</v>
      </c>
      <c r="L108" s="3">
        <f t="shared" si="61"/>
        <v>7.584888314222076E-3</v>
      </c>
      <c r="M108" s="4">
        <f>131.26*1013.12</f>
        <v>132982.1312</v>
      </c>
      <c r="N108" s="4">
        <f>131.26*1013.12</f>
        <v>132982.1312</v>
      </c>
      <c r="O108" s="60">
        <v>333</v>
      </c>
      <c r="P108" s="5">
        <v>5.0000000000000001E-4</v>
      </c>
      <c r="Q108" s="5">
        <v>5.57E-2</v>
      </c>
      <c r="R108" s="81">
        <f t="shared" ref="R108:R116" si="67">((K108-D108)/D108)</f>
        <v>6.5261511432506997E-2</v>
      </c>
      <c r="S108" s="81">
        <f t="shared" ref="S108:S116" si="68">((N108-G108)/G108)</f>
        <v>6.4064876963255524E-2</v>
      </c>
      <c r="T108" s="81">
        <f t="shared" ref="T108:T116" si="69">((O108-H108)/H108)</f>
        <v>0</v>
      </c>
      <c r="U108" s="81">
        <f t="shared" ref="U108:U116" si="70">P108-I108</f>
        <v>0</v>
      </c>
      <c r="V108" s="83">
        <f t="shared" ref="V108:V116" si="71">Q108-J108</f>
        <v>1.0999999999999968E-3</v>
      </c>
    </row>
    <row r="109" spans="1:24">
      <c r="A109" s="125">
        <v>92</v>
      </c>
      <c r="B109" s="119" t="s">
        <v>143</v>
      </c>
      <c r="C109" s="120" t="s">
        <v>58</v>
      </c>
      <c r="D109" s="4">
        <v>11096600617.98</v>
      </c>
      <c r="E109" s="3">
        <f t="shared" ref="E109:E115" si="72">(D109/$D$116)</f>
        <v>1.4805589782674043E-2</v>
      </c>
      <c r="F109" s="4">
        <v>113370.35</v>
      </c>
      <c r="G109" s="4">
        <v>113370.35</v>
      </c>
      <c r="H109" s="60">
        <v>564</v>
      </c>
      <c r="I109" s="5">
        <v>1E-3</v>
      </c>
      <c r="J109" s="5">
        <v>6.0499999999999998E-2</v>
      </c>
      <c r="K109" s="4">
        <v>11137743158.74</v>
      </c>
      <c r="L109" s="3">
        <f t="shared" si="61"/>
        <v>1.2626484242816568E-2</v>
      </c>
      <c r="M109" s="4">
        <v>113519.86</v>
      </c>
      <c r="N109" s="4">
        <v>113519.86</v>
      </c>
      <c r="O109" s="60">
        <v>566</v>
      </c>
      <c r="P109" s="5">
        <v>1.2999999999999999E-3</v>
      </c>
      <c r="Q109" s="5">
        <v>6.08E-2</v>
      </c>
      <c r="R109" s="81">
        <f t="shared" si="67"/>
        <v>3.7076706800942545E-3</v>
      </c>
      <c r="S109" s="81">
        <f t="shared" si="68"/>
        <v>1.3187751471173438E-3</v>
      </c>
      <c r="T109" s="81">
        <f t="shared" si="69"/>
        <v>3.5460992907801418E-3</v>
      </c>
      <c r="U109" s="81">
        <f t="shared" si="70"/>
        <v>2.9999999999999992E-4</v>
      </c>
      <c r="V109" s="83">
        <f t="shared" si="71"/>
        <v>3.0000000000000165E-4</v>
      </c>
    </row>
    <row r="110" spans="1:24">
      <c r="A110" s="132">
        <v>93</v>
      </c>
      <c r="B110" s="119" t="s">
        <v>144</v>
      </c>
      <c r="C110" s="120" t="s">
        <v>56</v>
      </c>
      <c r="D110" s="4">
        <v>3434285538.5570631</v>
      </c>
      <c r="E110" s="3">
        <f t="shared" si="72"/>
        <v>4.5821801316394215E-3</v>
      </c>
      <c r="F110" s="4">
        <v>1081.0824085006584</v>
      </c>
      <c r="G110" s="4">
        <v>1081.0824085006584</v>
      </c>
      <c r="H110" s="60">
        <v>161</v>
      </c>
      <c r="I110" s="5">
        <v>5.0882113308264247E-2</v>
      </c>
      <c r="J110" s="5">
        <v>5.8194417616812384E-2</v>
      </c>
      <c r="K110" s="4">
        <v>3286803417.0251679</v>
      </c>
      <c r="L110" s="3">
        <f t="shared" si="61"/>
        <v>3.7261383175044298E-3</v>
      </c>
      <c r="M110" s="4">
        <v>1034.6563541244479</v>
      </c>
      <c r="N110" s="4">
        <v>1034.6563541244479</v>
      </c>
      <c r="O110" s="60">
        <v>161</v>
      </c>
      <c r="P110" s="5">
        <v>5.2628967588455741E-2</v>
      </c>
      <c r="Q110" s="5">
        <v>5.813803962350645E-2</v>
      </c>
      <c r="R110" s="81">
        <f t="shared" si="67"/>
        <v>-4.2944047568584151E-2</v>
      </c>
      <c r="S110" s="81">
        <f t="shared" si="68"/>
        <v>-4.2944047568582916E-2</v>
      </c>
      <c r="T110" s="81">
        <f t="shared" si="69"/>
        <v>0</v>
      </c>
      <c r="U110" s="81">
        <f t="shared" si="70"/>
        <v>1.7468542801914941E-3</v>
      </c>
      <c r="V110" s="83">
        <f t="shared" si="71"/>
        <v>-5.6377993305933849E-5</v>
      </c>
    </row>
    <row r="111" spans="1:24">
      <c r="A111" s="125">
        <v>94</v>
      </c>
      <c r="B111" s="120" t="s">
        <v>145</v>
      </c>
      <c r="C111" s="124" t="s">
        <v>40</v>
      </c>
      <c r="D111" s="2">
        <v>9098911006.8600006</v>
      </c>
      <c r="E111" s="3">
        <f t="shared" si="72"/>
        <v>1.2140181346920458E-2</v>
      </c>
      <c r="F111" s="4">
        <f>1.0303*953.139</f>
        <v>982.01911170000005</v>
      </c>
      <c r="G111" s="4">
        <f>1.0303*953.139</f>
        <v>982.01911170000005</v>
      </c>
      <c r="H111" s="60">
        <v>389</v>
      </c>
      <c r="I111" s="5">
        <v>1.5E-3</v>
      </c>
      <c r="J111" s="5">
        <v>9.2700000000000005E-2</v>
      </c>
      <c r="K111" s="2">
        <v>9920232550.9099998</v>
      </c>
      <c r="L111" s="3">
        <f t="shared" si="61"/>
        <v>1.1246233478714136E-2</v>
      </c>
      <c r="M111" s="4">
        <f>1.0329*1013.12</f>
        <v>1046.451648</v>
      </c>
      <c r="N111" s="4">
        <f>1.0329*1013.12</f>
        <v>1046.451648</v>
      </c>
      <c r="O111" s="60">
        <v>394</v>
      </c>
      <c r="P111" s="5">
        <v>1.5E-3</v>
      </c>
      <c r="Q111" s="5" t="s">
        <v>254</v>
      </c>
      <c r="R111" s="81">
        <f t="shared" si="67"/>
        <v>9.0265916814745745E-2</v>
      </c>
      <c r="S111" s="81">
        <f t="shared" si="68"/>
        <v>6.5612303805838365E-2</v>
      </c>
      <c r="T111" s="81">
        <f t="shared" si="69"/>
        <v>1.2853470437017995E-2</v>
      </c>
      <c r="U111" s="81">
        <f t="shared" si="70"/>
        <v>0</v>
      </c>
      <c r="V111" s="83" t="e">
        <f t="shared" si="71"/>
        <v>#VALUE!</v>
      </c>
    </row>
    <row r="112" spans="1:24">
      <c r="A112" s="125">
        <v>95</v>
      </c>
      <c r="B112" s="119" t="s">
        <v>146</v>
      </c>
      <c r="C112" s="120" t="s">
        <v>80</v>
      </c>
      <c r="D112" s="4">
        <v>234434995.63999999</v>
      </c>
      <c r="E112" s="3">
        <f t="shared" si="72"/>
        <v>3.1279384521821796E-4</v>
      </c>
      <c r="F112" s="4">
        <f>0.99*953.139</f>
        <v>943.60761000000002</v>
      </c>
      <c r="G112" s="4">
        <f>0.99*953.139</f>
        <v>943.60761000000002</v>
      </c>
      <c r="H112" s="60">
        <v>3</v>
      </c>
      <c r="I112" s="5">
        <v>1.0822E-2</v>
      </c>
      <c r="J112" s="5">
        <v>0.148031</v>
      </c>
      <c r="K112" s="4">
        <v>220570852.77000001</v>
      </c>
      <c r="L112" s="3">
        <f t="shared" si="61"/>
        <v>2.5005374582906845E-4</v>
      </c>
      <c r="M112" s="4">
        <f>0.99*867.49</f>
        <v>858.81510000000003</v>
      </c>
      <c r="N112" s="4">
        <f>0.99*867.49</f>
        <v>858.81510000000003</v>
      </c>
      <c r="O112" s="60">
        <v>3</v>
      </c>
      <c r="P112" s="5">
        <v>5.9890000000000004E-3</v>
      </c>
      <c r="Q112" s="5">
        <v>0.15490699999999999</v>
      </c>
      <c r="R112" s="81">
        <f t="shared" si="67"/>
        <v>-5.9138537879770518E-2</v>
      </c>
      <c r="S112" s="81">
        <f t="shared" si="68"/>
        <v>-8.9859925991906731E-2</v>
      </c>
      <c r="T112" s="81">
        <f t="shared" si="69"/>
        <v>0</v>
      </c>
      <c r="U112" s="81">
        <f t="shared" si="70"/>
        <v>-4.8329999999999996E-3</v>
      </c>
      <c r="V112" s="83">
        <f t="shared" si="71"/>
        <v>6.8759999999999932E-3</v>
      </c>
    </row>
    <row r="113" spans="1:22">
      <c r="A113" s="133">
        <v>96</v>
      </c>
      <c r="B113" s="119" t="s">
        <v>147</v>
      </c>
      <c r="C113" s="120" t="s">
        <v>42</v>
      </c>
      <c r="D113" s="2">
        <v>452150562604.79999</v>
      </c>
      <c r="E113" s="3">
        <f t="shared" si="72"/>
        <v>0.60327986744742124</v>
      </c>
      <c r="F113" s="4">
        <v>1349.9</v>
      </c>
      <c r="G113" s="4">
        <v>1349.9</v>
      </c>
      <c r="H113" s="60">
        <v>9808</v>
      </c>
      <c r="I113" s="5">
        <v>1.2999999999999999E-3</v>
      </c>
      <c r="J113" s="5">
        <v>6.6699999999999995E-2</v>
      </c>
      <c r="K113" s="2">
        <v>540809955315.39001</v>
      </c>
      <c r="L113" s="3">
        <f t="shared" si="61"/>
        <v>0.6130980290912551</v>
      </c>
      <c r="M113" s="4">
        <v>1602.3</v>
      </c>
      <c r="N113" s="4">
        <v>1602.3</v>
      </c>
      <c r="O113" s="60">
        <v>9850</v>
      </c>
      <c r="P113" s="5">
        <v>1.4E-3</v>
      </c>
      <c r="Q113" s="5">
        <v>6.8199999999999997E-2</v>
      </c>
      <c r="R113" s="81">
        <f t="shared" si="67"/>
        <v>0.19608378279976252</v>
      </c>
      <c r="S113" s="81">
        <f t="shared" si="68"/>
        <v>0.18697681309726635</v>
      </c>
      <c r="T113" s="81">
        <f t="shared" si="69"/>
        <v>4.2822185970636216E-3</v>
      </c>
      <c r="U113" s="81">
        <f t="shared" si="70"/>
        <v>1.0000000000000005E-4</v>
      </c>
      <c r="V113" s="83">
        <f t="shared" si="71"/>
        <v>1.5000000000000013E-3</v>
      </c>
    </row>
    <row r="114" spans="1:22" ht="16.5" customHeight="1">
      <c r="A114" s="129">
        <v>97</v>
      </c>
      <c r="B114" s="119" t="s">
        <v>148</v>
      </c>
      <c r="C114" s="120" t="s">
        <v>45</v>
      </c>
      <c r="D114" s="2">
        <v>21459499975</v>
      </c>
      <c r="E114" s="3">
        <f t="shared" si="72"/>
        <v>2.8632241936899682E-2</v>
      </c>
      <c r="F114" s="4">
        <v>998.12</v>
      </c>
      <c r="G114" s="4">
        <v>998.12</v>
      </c>
      <c r="H114" s="60">
        <v>135</v>
      </c>
      <c r="I114" s="5">
        <v>1.9E-3</v>
      </c>
      <c r="J114" s="5">
        <v>7.6499999999999999E-2</v>
      </c>
      <c r="K114" s="2">
        <v>25509876790.330502</v>
      </c>
      <c r="L114" s="3">
        <f t="shared" si="61"/>
        <v>2.8919688013863212E-2</v>
      </c>
      <c r="M114" s="4">
        <v>1185.44</v>
      </c>
      <c r="N114" s="4">
        <v>1185.44</v>
      </c>
      <c r="O114" s="60">
        <v>131</v>
      </c>
      <c r="P114" s="5">
        <v>0.107</v>
      </c>
      <c r="Q114" s="5">
        <v>8.5099999999999995E-2</v>
      </c>
      <c r="R114" s="81">
        <f t="shared" si="67"/>
        <v>0.18874516275072256</v>
      </c>
      <c r="S114" s="81">
        <f t="shared" si="68"/>
        <v>0.18767282491083243</v>
      </c>
      <c r="T114" s="81">
        <f t="shared" si="69"/>
        <v>-2.9629629629629631E-2</v>
      </c>
      <c r="U114" s="81">
        <f t="shared" si="70"/>
        <v>0.1051</v>
      </c>
      <c r="V114" s="83">
        <f t="shared" si="71"/>
        <v>8.5999999999999965E-3</v>
      </c>
    </row>
    <row r="115" spans="1:22">
      <c r="A115" s="133">
        <v>98</v>
      </c>
      <c r="B115" s="119" t="s">
        <v>149</v>
      </c>
      <c r="C115" s="120" t="s">
        <v>32</v>
      </c>
      <c r="D115" s="4">
        <v>22433478476.665916</v>
      </c>
      <c r="E115" s="3">
        <f t="shared" si="72"/>
        <v>2.9931768399935901E-2</v>
      </c>
      <c r="F115" s="4">
        <f>1.119*815.32</f>
        <v>912.3430800000001</v>
      </c>
      <c r="G115" s="4">
        <f>1.119*815.32</f>
        <v>912.3430800000001</v>
      </c>
      <c r="H115" s="60">
        <v>991</v>
      </c>
      <c r="I115" s="5">
        <v>2.5085110195304239E-3</v>
      </c>
      <c r="J115" s="5">
        <v>6.4092810954735624E-2</v>
      </c>
      <c r="K115" s="4">
        <v>23036156249.562721</v>
      </c>
      <c r="L115" s="3">
        <f t="shared" si="61"/>
        <v>2.611531436437518E-2</v>
      </c>
      <c r="M115" s="4">
        <f>1.1192*1013.12</f>
        <v>1133.883904</v>
      </c>
      <c r="N115" s="4">
        <f>1.1192*1013.12</f>
        <v>1133.883904</v>
      </c>
      <c r="O115" s="60">
        <v>999</v>
      </c>
      <c r="P115" s="5">
        <v>1.7873100983023527E-4</v>
      </c>
      <c r="Q115" s="5">
        <v>6.4282997337390624E-2</v>
      </c>
      <c r="R115" s="81">
        <f t="shared" si="67"/>
        <v>2.6865105807094402E-2</v>
      </c>
      <c r="S115" s="81">
        <f t="shared" si="68"/>
        <v>0.2428262227845252</v>
      </c>
      <c r="T115" s="81">
        <f t="shared" si="69"/>
        <v>8.0726538849646822E-3</v>
      </c>
      <c r="U115" s="81">
        <f t="shared" si="70"/>
        <v>-2.3297800097001886E-3</v>
      </c>
      <c r="V115" s="83">
        <f t="shared" si="71"/>
        <v>1.9018638265499987E-4</v>
      </c>
    </row>
    <row r="116" spans="1:22">
      <c r="A116" s="75"/>
      <c r="B116" s="19"/>
      <c r="C116" s="66" t="s">
        <v>46</v>
      </c>
      <c r="D116" s="59">
        <f>SUM(D93:D115)</f>
        <v>749487239675.21936</v>
      </c>
      <c r="E116" s="104">
        <f>(D116/$D$177)</f>
        <v>0.35346808405212016</v>
      </c>
      <c r="F116" s="30"/>
      <c r="G116" s="11"/>
      <c r="H116" s="65">
        <f>SUM(H93:H115)</f>
        <v>18538</v>
      </c>
      <c r="I116" s="33"/>
      <c r="J116" s="33"/>
      <c r="K116" s="59">
        <f>SUM(K93:K115)</f>
        <v>882093775634.84949</v>
      </c>
      <c r="L116" s="104">
        <f>(K116/$K$177)</f>
        <v>0.3917124807385009</v>
      </c>
      <c r="M116" s="30"/>
      <c r="N116" s="11"/>
      <c r="O116" s="65">
        <f>SUM(O93:O115)</f>
        <v>18624</v>
      </c>
      <c r="P116" s="33"/>
      <c r="Q116" s="33"/>
      <c r="R116" s="81">
        <f t="shared" si="67"/>
        <v>0.17692967797169362</v>
      </c>
      <c r="S116" s="81" t="e">
        <f t="shared" si="68"/>
        <v>#DIV/0!</v>
      </c>
      <c r="T116" s="81">
        <f t="shared" si="69"/>
        <v>4.6391196461322689E-3</v>
      </c>
      <c r="U116" s="81">
        <f t="shared" si="70"/>
        <v>0</v>
      </c>
      <c r="V116" s="83">
        <f t="shared" si="71"/>
        <v>0</v>
      </c>
    </row>
    <row r="117" spans="1:22" ht="8.25" customHeight="1">
      <c r="A117" s="142"/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2"/>
      <c r="U117" s="142"/>
      <c r="V117" s="142"/>
    </row>
    <row r="118" spans="1:22" ht="15.75">
      <c r="A118" s="140" t="s">
        <v>150</v>
      </c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</row>
    <row r="119" spans="1:22">
      <c r="A119" s="125">
        <v>99</v>
      </c>
      <c r="B119" s="119" t="s">
        <v>246</v>
      </c>
      <c r="C119" s="120" t="s">
        <v>247</v>
      </c>
      <c r="D119" s="2">
        <v>2151953555.3669076</v>
      </c>
      <c r="E119" s="3">
        <f>(D119/$D$124)</f>
        <v>2.2307015297588252E-2</v>
      </c>
      <c r="F119" s="14">
        <v>101.41</v>
      </c>
      <c r="G119" s="14">
        <v>101.41</v>
      </c>
      <c r="H119" s="60">
        <v>8</v>
      </c>
      <c r="I119" s="5">
        <v>-4.7000000000000002E-3</v>
      </c>
      <c r="J119" s="5">
        <v>1.41E-2</v>
      </c>
      <c r="K119" s="2">
        <v>2151953555.3669076</v>
      </c>
      <c r="L119" s="3">
        <f>(K119/$K$124)</f>
        <v>2.2303618080602231E-2</v>
      </c>
      <c r="M119" s="14">
        <v>101.41</v>
      </c>
      <c r="N119" s="14">
        <v>101.41</v>
      </c>
      <c r="O119" s="60">
        <v>8</v>
      </c>
      <c r="P119" s="5">
        <v>-4.7000000000000002E-3</v>
      </c>
      <c r="Q119" s="5">
        <v>1.41E-2</v>
      </c>
      <c r="R119" s="81">
        <f t="shared" ref="R119" si="73">((K119-D119)/D119)</f>
        <v>0</v>
      </c>
      <c r="S119" s="81">
        <f t="shared" ref="S119" si="74">((N119-G119)/G119)</f>
        <v>0</v>
      </c>
      <c r="T119" s="81">
        <f t="shared" ref="T119" si="75">((O119-H119)/H119)</f>
        <v>0</v>
      </c>
      <c r="U119" s="81">
        <f t="shared" ref="U119" si="76">P119-I119</f>
        <v>0</v>
      </c>
      <c r="V119" s="83">
        <f t="shared" ref="V119" si="77">Q119-J119</f>
        <v>0</v>
      </c>
    </row>
    <row r="120" spans="1:22">
      <c r="A120" s="125">
        <v>100</v>
      </c>
      <c r="B120" s="119" t="s">
        <v>151</v>
      </c>
      <c r="C120" s="120" t="s">
        <v>40</v>
      </c>
      <c r="D120" s="2">
        <v>54330953714</v>
      </c>
      <c r="E120" s="3">
        <f>(D120/$D$124)</f>
        <v>0.56319125132053238</v>
      </c>
      <c r="F120" s="14">
        <v>101.79</v>
      </c>
      <c r="G120" s="14">
        <v>101.79</v>
      </c>
      <c r="H120" s="60">
        <v>675</v>
      </c>
      <c r="I120" s="5">
        <v>0</v>
      </c>
      <c r="J120" s="5">
        <v>7.6999999999999999E-2</v>
      </c>
      <c r="K120" s="2">
        <v>54330953714</v>
      </c>
      <c r="L120" s="3">
        <f>(K120/$K$124)</f>
        <v>0.56310548086402612</v>
      </c>
      <c r="M120" s="14">
        <v>102.5</v>
      </c>
      <c r="N120" s="14">
        <v>102.5</v>
      </c>
      <c r="O120" s="60">
        <v>675</v>
      </c>
      <c r="P120" s="5">
        <v>0</v>
      </c>
      <c r="Q120" s="5">
        <v>7.6999999999999999E-2</v>
      </c>
      <c r="R120" s="81">
        <f t="shared" ref="R120" si="78">((K120-D120)/D120)</f>
        <v>0</v>
      </c>
      <c r="S120" s="81">
        <f t="shared" ref="S120" si="79">((N120-G120)/G120)</f>
        <v>6.9751449061793269E-3</v>
      </c>
      <c r="T120" s="81">
        <f t="shared" ref="T120" si="80">((O120-H120)/H120)</f>
        <v>0</v>
      </c>
      <c r="U120" s="81">
        <f t="shared" ref="U120" si="81">P120-I120</f>
        <v>0</v>
      </c>
      <c r="V120" s="83">
        <f t="shared" ref="V120" si="82">Q120-J120</f>
        <v>0</v>
      </c>
    </row>
    <row r="121" spans="1:22" ht="17.25" customHeight="1">
      <c r="A121" s="125">
        <v>101</v>
      </c>
      <c r="B121" s="119" t="s">
        <v>152</v>
      </c>
      <c r="C121" s="120" t="s">
        <v>120</v>
      </c>
      <c r="D121" s="2">
        <v>2576073617.4400001</v>
      </c>
      <c r="E121" s="3">
        <f>(D121/$D$124)</f>
        <v>2.6703417203699779E-2</v>
      </c>
      <c r="F121" s="14">
        <v>92.15</v>
      </c>
      <c r="G121" s="14">
        <v>92.15</v>
      </c>
      <c r="H121" s="60">
        <v>2743</v>
      </c>
      <c r="I121" s="5">
        <v>0.22869999999999999</v>
      </c>
      <c r="J121" s="5">
        <v>0.15590000000000001</v>
      </c>
      <c r="K121" s="2">
        <v>2578807337.3800001</v>
      </c>
      <c r="L121" s="3">
        <f>(K121/$K$124)</f>
        <v>2.6727683696022738E-2</v>
      </c>
      <c r="M121" s="14">
        <v>92.15</v>
      </c>
      <c r="N121" s="14">
        <v>92.15</v>
      </c>
      <c r="O121" s="60">
        <v>2743</v>
      </c>
      <c r="P121" s="5">
        <v>5.5300000000000002E-2</v>
      </c>
      <c r="Q121" s="5">
        <v>0.15409999999999999</v>
      </c>
      <c r="R121" s="81">
        <f t="shared" ref="R121:R124" si="83">((K121-D121)/D121)</f>
        <v>1.0611963577021994E-3</v>
      </c>
      <c r="S121" s="81">
        <f t="shared" ref="S121:S124" si="84">((N121-G121)/G121)</f>
        <v>0</v>
      </c>
      <c r="T121" s="81">
        <f t="shared" ref="T121:T124" si="85">((O121-H121)/H121)</f>
        <v>0</v>
      </c>
      <c r="U121" s="81">
        <f t="shared" ref="U121:U124" si="86">P121-I121</f>
        <v>-0.1734</v>
      </c>
      <c r="V121" s="83">
        <f t="shared" ref="V121:V124" si="87">Q121-J121</f>
        <v>-1.8000000000000238E-3</v>
      </c>
    </row>
    <row r="122" spans="1:22">
      <c r="A122" s="133">
        <v>102</v>
      </c>
      <c r="B122" s="119" t="s">
        <v>153</v>
      </c>
      <c r="C122" s="120" t="s">
        <v>120</v>
      </c>
      <c r="D122" s="2">
        <v>10748520360.68</v>
      </c>
      <c r="E122" s="3">
        <f>(D122/$D$124)</f>
        <v>0.11141848647902035</v>
      </c>
      <c r="F122" s="14">
        <v>36.6</v>
      </c>
      <c r="G122" s="14">
        <v>36.6</v>
      </c>
      <c r="H122" s="60">
        <v>5264</v>
      </c>
      <c r="I122" s="5">
        <v>3.1160999999999999</v>
      </c>
      <c r="J122" s="5">
        <v>0.34870000000000001</v>
      </c>
      <c r="K122" s="2">
        <v>10754491040.969999</v>
      </c>
      <c r="L122" s="3">
        <f>(K122/$K$124)</f>
        <v>0.11146340042090565</v>
      </c>
      <c r="M122" s="14">
        <v>36.6</v>
      </c>
      <c r="N122" s="14">
        <v>36.6</v>
      </c>
      <c r="O122" s="60">
        <v>5264</v>
      </c>
      <c r="P122" s="5">
        <v>3.5200000000000002E-2</v>
      </c>
      <c r="Q122" s="5">
        <v>0.34370000000000001</v>
      </c>
      <c r="R122" s="81">
        <f t="shared" si="83"/>
        <v>5.5548857792936965E-4</v>
      </c>
      <c r="S122" s="81">
        <f t="shared" si="84"/>
        <v>0</v>
      </c>
      <c r="T122" s="81">
        <f t="shared" si="85"/>
        <v>0</v>
      </c>
      <c r="U122" s="81">
        <f t="shared" si="86"/>
        <v>-3.0808999999999997</v>
      </c>
      <c r="V122" s="83">
        <f t="shared" si="87"/>
        <v>-5.0000000000000044E-3</v>
      </c>
    </row>
    <row r="123" spans="1:22">
      <c r="A123" s="133">
        <v>103</v>
      </c>
      <c r="B123" s="119" t="s">
        <v>154</v>
      </c>
      <c r="C123" s="120" t="s">
        <v>42</v>
      </c>
      <c r="D123" s="2">
        <v>26662310005.099998</v>
      </c>
      <c r="E123" s="3">
        <f>(D123/$D$124)</f>
        <v>0.27637982969915914</v>
      </c>
      <c r="F123" s="14">
        <v>4.45</v>
      </c>
      <c r="G123" s="14">
        <v>4.45</v>
      </c>
      <c r="H123" s="60">
        <v>208853</v>
      </c>
      <c r="I123" s="5">
        <v>0</v>
      </c>
      <c r="J123" s="5">
        <v>0.48330000000000001</v>
      </c>
      <c r="K123" s="2">
        <v>26668299583.23</v>
      </c>
      <c r="L123" s="3">
        <f>(K123/$K$124)</f>
        <v>0.27639981693844334</v>
      </c>
      <c r="M123" s="14">
        <v>5</v>
      </c>
      <c r="N123" s="14">
        <v>5</v>
      </c>
      <c r="O123" s="60">
        <v>208853</v>
      </c>
      <c r="P123" s="5">
        <v>0.12230000000000001</v>
      </c>
      <c r="Q123" s="5">
        <v>0.66669999999999996</v>
      </c>
      <c r="R123" s="81">
        <f t="shared" si="83"/>
        <v>2.2464588135294257E-4</v>
      </c>
      <c r="S123" s="81">
        <f t="shared" si="84"/>
        <v>0.12359550561797748</v>
      </c>
      <c r="T123" s="81">
        <f t="shared" si="85"/>
        <v>0</v>
      </c>
      <c r="U123" s="81">
        <f t="shared" si="86"/>
        <v>0.12230000000000001</v>
      </c>
      <c r="V123" s="83">
        <f t="shared" si="87"/>
        <v>0.18339999999999995</v>
      </c>
    </row>
    <row r="124" spans="1:22">
      <c r="A124" s="75"/>
      <c r="B124" s="19"/>
      <c r="C124" s="71" t="s">
        <v>46</v>
      </c>
      <c r="D124" s="58">
        <f>SUM(D119:D123)</f>
        <v>96469811252.586914</v>
      </c>
      <c r="E124" s="104">
        <f>(D124/$D$177)</f>
        <v>4.5496437493849691E-2</v>
      </c>
      <c r="F124" s="30"/>
      <c r="G124" s="34"/>
      <c r="H124" s="65">
        <f>SUM(H119:H123)</f>
        <v>217543</v>
      </c>
      <c r="I124" s="35"/>
      <c r="J124" s="35"/>
      <c r="K124" s="58">
        <f>SUM(K119:K123)</f>
        <v>96484505230.946899</v>
      </c>
      <c r="L124" s="104">
        <f>(K124/$K$177)</f>
        <v>4.2845994315786118E-2</v>
      </c>
      <c r="M124" s="30"/>
      <c r="N124" s="34"/>
      <c r="O124" s="65">
        <f>SUM(O119:O123)</f>
        <v>217543</v>
      </c>
      <c r="P124" s="35"/>
      <c r="Q124" s="35"/>
      <c r="R124" s="81">
        <f t="shared" si="83"/>
        <v>1.5231685611483272E-4</v>
      </c>
      <c r="S124" s="81" t="e">
        <f t="shared" si="84"/>
        <v>#DIV/0!</v>
      </c>
      <c r="T124" s="81">
        <f t="shared" si="85"/>
        <v>0</v>
      </c>
      <c r="U124" s="81">
        <f t="shared" si="86"/>
        <v>0</v>
      </c>
      <c r="V124" s="83">
        <f t="shared" si="87"/>
        <v>0</v>
      </c>
    </row>
    <row r="125" spans="1:22" ht="7.5" customHeight="1">
      <c r="A125" s="142"/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</row>
    <row r="126" spans="1:22" ht="15" customHeight="1">
      <c r="A126" s="140" t="s">
        <v>155</v>
      </c>
      <c r="B126" s="140"/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</row>
    <row r="127" spans="1:22">
      <c r="A127" s="125">
        <v>104</v>
      </c>
      <c r="B127" s="119" t="s">
        <v>156</v>
      </c>
      <c r="C127" s="120" t="s">
        <v>50</v>
      </c>
      <c r="D127" s="4">
        <v>214324205.41</v>
      </c>
      <c r="E127" s="3">
        <f t="shared" ref="E127:E150" si="88">(D127/$D$151)</f>
        <v>5.258584930788404E-3</v>
      </c>
      <c r="F127" s="4">
        <v>4.79</v>
      </c>
      <c r="G127" s="4">
        <v>4.8899999999999997</v>
      </c>
      <c r="H127" s="62">
        <v>11813</v>
      </c>
      <c r="I127" s="6">
        <v>-2.875E-3</v>
      </c>
      <c r="J127" s="6">
        <v>0.27550799999999998</v>
      </c>
      <c r="K127" s="4">
        <v>215832547.40000001</v>
      </c>
      <c r="L127" s="16">
        <f t="shared" ref="L127:L142" si="89">(K127/$K$151)</f>
        <v>5.2200177917620062E-3</v>
      </c>
      <c r="M127" s="4">
        <v>4.82</v>
      </c>
      <c r="N127" s="4">
        <v>4.93</v>
      </c>
      <c r="O127" s="62">
        <v>11813</v>
      </c>
      <c r="P127" s="6">
        <v>8.5450000000000005E-3</v>
      </c>
      <c r="Q127" s="6">
        <v>0.28405200000000003</v>
      </c>
      <c r="R127" s="81">
        <f t="shared" ref="R127" si="90">((K127-D127)/D127)</f>
        <v>7.0376651443292033E-3</v>
      </c>
      <c r="S127" s="81">
        <f t="shared" ref="S127" si="91">((N127-G127)/G127)</f>
        <v>8.1799591002045067E-3</v>
      </c>
      <c r="T127" s="81">
        <f t="shared" ref="T127" si="92">((O127-H127)/H127)</f>
        <v>0</v>
      </c>
      <c r="U127" s="81">
        <f t="shared" ref="U127" si="93">P127-I127</f>
        <v>1.142E-2</v>
      </c>
      <c r="V127" s="83">
        <f t="shared" ref="V127" si="94">Q127-J127</f>
        <v>8.5440000000000516E-3</v>
      </c>
    </row>
    <row r="128" spans="1:22">
      <c r="A128" s="125">
        <v>105</v>
      </c>
      <c r="B128" s="119" t="s">
        <v>157</v>
      </c>
      <c r="C128" s="120" t="s">
        <v>21</v>
      </c>
      <c r="D128" s="4">
        <v>6090690560.8999996</v>
      </c>
      <c r="E128" s="3">
        <f t="shared" si="88"/>
        <v>0.14943908710812148</v>
      </c>
      <c r="F128" s="4">
        <v>649.63930000000005</v>
      </c>
      <c r="G128" s="4">
        <v>669.22640000000001</v>
      </c>
      <c r="H128" s="62">
        <v>21192</v>
      </c>
      <c r="I128" s="6">
        <v>0.19789999999999999</v>
      </c>
      <c r="J128" s="6">
        <v>0.255</v>
      </c>
      <c r="K128" s="4">
        <v>6100798516.8800001</v>
      </c>
      <c r="L128" s="16">
        <f t="shared" si="89"/>
        <v>0.14755085451986311</v>
      </c>
      <c r="M128" s="4">
        <v>649.57569999999998</v>
      </c>
      <c r="N128" s="4">
        <v>669.16089999999997</v>
      </c>
      <c r="O128" s="62">
        <v>21194</v>
      </c>
      <c r="P128" s="6">
        <v>-5.1000000000000004E-3</v>
      </c>
      <c r="Q128" s="6">
        <v>0.24959999999999999</v>
      </c>
      <c r="R128" s="81">
        <f t="shared" ref="R128:R151" si="95">((K128-D128)/D128)</f>
        <v>1.659574703218362E-3</v>
      </c>
      <c r="S128" s="81">
        <f t="shared" ref="S128:S151" si="96">((N128-G128)/G128)</f>
        <v>-9.7874202213246139E-5</v>
      </c>
      <c r="T128" s="81">
        <f t="shared" ref="T128:T151" si="97">((O128-H128)/H128)</f>
        <v>9.4375235938089843E-5</v>
      </c>
      <c r="U128" s="81">
        <f t="shared" ref="U128:U151" si="98">P128-I128</f>
        <v>-0.20299999999999999</v>
      </c>
      <c r="V128" s="83">
        <f t="shared" ref="V128:V151" si="99">Q128-J128</f>
        <v>-5.4000000000000159E-3</v>
      </c>
    </row>
    <row r="129" spans="1:24">
      <c r="A129" s="125">
        <v>106</v>
      </c>
      <c r="B129" s="119" t="s">
        <v>158</v>
      </c>
      <c r="C129" s="120" t="s">
        <v>91</v>
      </c>
      <c r="D129" s="4">
        <v>3247260540.8099999</v>
      </c>
      <c r="E129" s="3">
        <f t="shared" si="88"/>
        <v>7.9673666880421018E-2</v>
      </c>
      <c r="F129" s="4">
        <v>18.1633</v>
      </c>
      <c r="G129" s="4">
        <v>18.370200000000001</v>
      </c>
      <c r="H129" s="60">
        <v>6272</v>
      </c>
      <c r="I129" s="5">
        <v>3.2000000000000002E-3</v>
      </c>
      <c r="J129" s="5">
        <v>0.31090000000000001</v>
      </c>
      <c r="K129" s="4">
        <v>3249583233.54</v>
      </c>
      <c r="L129" s="16">
        <f t="shared" si="89"/>
        <v>7.8592791028190903E-2</v>
      </c>
      <c r="M129" s="4">
        <v>18.2103</v>
      </c>
      <c r="N129" s="4">
        <v>18.417999999999999</v>
      </c>
      <c r="O129" s="60">
        <v>6272</v>
      </c>
      <c r="P129" s="5">
        <v>6.4000000000000003E-3</v>
      </c>
      <c r="Q129" s="5">
        <v>0.31430000000000002</v>
      </c>
      <c r="R129" s="81">
        <f t="shared" si="95"/>
        <v>7.1527760116859738E-4</v>
      </c>
      <c r="S129" s="81">
        <f t="shared" si="96"/>
        <v>2.6020402608571891E-3</v>
      </c>
      <c r="T129" s="81">
        <f t="shared" si="97"/>
        <v>0</v>
      </c>
      <c r="U129" s="81">
        <f t="shared" si="98"/>
        <v>3.2000000000000002E-3</v>
      </c>
      <c r="V129" s="83">
        <f t="shared" si="99"/>
        <v>3.4000000000000141E-3</v>
      </c>
    </row>
    <row r="130" spans="1:24">
      <c r="A130" s="134">
        <v>107</v>
      </c>
      <c r="B130" s="119" t="s">
        <v>159</v>
      </c>
      <c r="C130" s="120" t="s">
        <v>101</v>
      </c>
      <c r="D130" s="2">
        <v>1272637728.2993147</v>
      </c>
      <c r="E130" s="3">
        <f t="shared" si="88"/>
        <v>3.1225001243258142E-2</v>
      </c>
      <c r="F130" s="4">
        <v>2.9767999999999999</v>
      </c>
      <c r="G130" s="4">
        <v>3.0491999999999999</v>
      </c>
      <c r="H130" s="60">
        <v>2754</v>
      </c>
      <c r="I130" s="5">
        <v>6.7999999999999996E-3</v>
      </c>
      <c r="J130" s="5">
        <v>0.34499999999999997</v>
      </c>
      <c r="K130" s="2">
        <v>1272637728.2993147</v>
      </c>
      <c r="L130" s="16">
        <f t="shared" si="89"/>
        <v>3.0779378106853612E-2</v>
      </c>
      <c r="M130" s="4">
        <v>2.9868999999999999</v>
      </c>
      <c r="N130" s="4">
        <v>3.0596999999999999</v>
      </c>
      <c r="O130" s="60">
        <v>2754</v>
      </c>
      <c r="P130" s="5">
        <v>0.17960000000000001</v>
      </c>
      <c r="Q130" s="5">
        <v>0.3427</v>
      </c>
      <c r="R130" s="81">
        <f t="shared" si="95"/>
        <v>0</v>
      </c>
      <c r="S130" s="81">
        <f t="shared" si="96"/>
        <v>3.443526170798883E-3</v>
      </c>
      <c r="T130" s="81">
        <f t="shared" si="97"/>
        <v>0</v>
      </c>
      <c r="U130" s="81">
        <f t="shared" si="98"/>
        <v>0.17280000000000001</v>
      </c>
      <c r="V130" s="83">
        <f t="shared" si="99"/>
        <v>-2.2999999999999687E-3</v>
      </c>
    </row>
    <row r="131" spans="1:24">
      <c r="A131" s="132">
        <v>108</v>
      </c>
      <c r="B131" s="119" t="s">
        <v>160</v>
      </c>
      <c r="C131" s="120" t="s">
        <v>56</v>
      </c>
      <c r="D131" s="2">
        <v>2918691407.7906799</v>
      </c>
      <c r="E131" s="3">
        <f t="shared" si="88"/>
        <v>7.1612007730385549E-2</v>
      </c>
      <c r="F131" s="4">
        <v>5457.4229850091097</v>
      </c>
      <c r="G131" s="4">
        <v>5497.4296573912397</v>
      </c>
      <c r="H131" s="60">
        <v>847</v>
      </c>
      <c r="I131" s="5">
        <v>0.31998121670369534</v>
      </c>
      <c r="J131" s="5">
        <v>0.32352651724616899</v>
      </c>
      <c r="K131" s="2">
        <v>2947325968.1331401</v>
      </c>
      <c r="L131" s="16">
        <f t="shared" si="89"/>
        <v>7.1282548332546672E-2</v>
      </c>
      <c r="M131" s="4">
        <v>5510.7467296185996</v>
      </c>
      <c r="N131" s="4">
        <v>5551.3187467696598</v>
      </c>
      <c r="O131" s="60">
        <v>847</v>
      </c>
      <c r="P131" s="5">
        <v>0.50948083099521602</v>
      </c>
      <c r="Q131" s="5">
        <v>0.33042903212356312</v>
      </c>
      <c r="R131" s="81">
        <f t="shared" si="95"/>
        <v>9.810752951143694E-3</v>
      </c>
      <c r="S131" s="81">
        <f t="shared" si="96"/>
        <v>9.8025973476471347E-3</v>
      </c>
      <c r="T131" s="81">
        <f t="shared" si="97"/>
        <v>0</v>
      </c>
      <c r="U131" s="81">
        <f t="shared" si="98"/>
        <v>0.18949961429152068</v>
      </c>
      <c r="V131" s="83">
        <f t="shared" si="99"/>
        <v>6.9025148773941281E-3</v>
      </c>
    </row>
    <row r="132" spans="1:24">
      <c r="A132" s="125">
        <v>109</v>
      </c>
      <c r="B132" s="119" t="s">
        <v>161</v>
      </c>
      <c r="C132" s="120" t="s">
        <v>58</v>
      </c>
      <c r="D132" s="4">
        <v>438629335.38999999</v>
      </c>
      <c r="E132" s="3">
        <f t="shared" si="88"/>
        <v>1.0762058391263566E-2</v>
      </c>
      <c r="F132" s="4">
        <v>163.4</v>
      </c>
      <c r="G132" s="4">
        <v>164.48</v>
      </c>
      <c r="H132" s="60">
        <v>631</v>
      </c>
      <c r="I132" s="5">
        <v>4.7999999999999996E-3</v>
      </c>
      <c r="J132" s="5">
        <v>0.27100000000000002</v>
      </c>
      <c r="K132" s="4">
        <v>442464833.41000003</v>
      </c>
      <c r="L132" s="16">
        <f t="shared" si="89"/>
        <v>1.0701232647496483E-2</v>
      </c>
      <c r="M132" s="4">
        <v>164.48</v>
      </c>
      <c r="N132" s="4">
        <v>165.62</v>
      </c>
      <c r="O132" s="60">
        <v>633</v>
      </c>
      <c r="P132" s="5">
        <v>6.7999999999999996E-3</v>
      </c>
      <c r="Q132" s="5">
        <v>0.27910000000000001</v>
      </c>
      <c r="R132" s="81">
        <f t="shared" si="95"/>
        <v>8.7442806728596275E-3</v>
      </c>
      <c r="S132" s="81">
        <f t="shared" si="96"/>
        <v>6.9309338521401677E-3</v>
      </c>
      <c r="T132" s="81">
        <f t="shared" si="97"/>
        <v>3.1695721077654518E-3</v>
      </c>
      <c r="U132" s="81">
        <f t="shared" si="98"/>
        <v>2E-3</v>
      </c>
      <c r="V132" s="83">
        <f t="shared" si="99"/>
        <v>8.0999999999999961E-3</v>
      </c>
    </row>
    <row r="133" spans="1:24">
      <c r="A133" s="134">
        <v>110</v>
      </c>
      <c r="B133" s="119" t="s">
        <v>162</v>
      </c>
      <c r="C133" s="120" t="s">
        <v>60</v>
      </c>
      <c r="D133" s="4">
        <v>3734808.11</v>
      </c>
      <c r="E133" s="3">
        <f t="shared" si="88"/>
        <v>9.1635966217915382E-5</v>
      </c>
      <c r="F133" s="4">
        <v>102.747</v>
      </c>
      <c r="G133" s="4">
        <v>102.99</v>
      </c>
      <c r="H133" s="60">
        <v>0</v>
      </c>
      <c r="I133" s="5">
        <v>0</v>
      </c>
      <c r="J133" s="5">
        <v>0</v>
      </c>
      <c r="K133" s="4">
        <v>3734808.11</v>
      </c>
      <c r="L133" s="16">
        <f t="shared" si="89"/>
        <v>9.0328196640730696E-5</v>
      </c>
      <c r="M133" s="4">
        <v>102.747</v>
      </c>
      <c r="N133" s="4">
        <v>102.99</v>
      </c>
      <c r="O133" s="60">
        <v>0</v>
      </c>
      <c r="P133" s="5">
        <v>0</v>
      </c>
      <c r="Q133" s="5">
        <v>0</v>
      </c>
      <c r="R133" s="81">
        <f t="shared" si="95"/>
        <v>0</v>
      </c>
      <c r="S133" s="81">
        <f t="shared" si="96"/>
        <v>0</v>
      </c>
      <c r="T133" s="81" t="e">
        <f t="shared" si="97"/>
        <v>#DIV/0!</v>
      </c>
      <c r="U133" s="81">
        <f t="shared" si="98"/>
        <v>0</v>
      </c>
      <c r="V133" s="83">
        <f t="shared" si="99"/>
        <v>0</v>
      </c>
    </row>
    <row r="134" spans="1:24">
      <c r="A134" s="131">
        <v>111</v>
      </c>
      <c r="B134" s="119" t="s">
        <v>163</v>
      </c>
      <c r="C134" s="120" t="s">
        <v>105</v>
      </c>
      <c r="D134" s="4">
        <v>164768306.96000001</v>
      </c>
      <c r="E134" s="3">
        <f t="shared" si="88"/>
        <v>4.0426984641975822E-3</v>
      </c>
      <c r="F134" s="4">
        <v>1.4507000000000001</v>
      </c>
      <c r="G134" s="4">
        <v>1.4644999999999999</v>
      </c>
      <c r="H134" s="60">
        <v>266</v>
      </c>
      <c r="I134" s="5">
        <v>4.1999999999999997E-3</v>
      </c>
      <c r="J134" s="5">
        <v>0.2077</v>
      </c>
      <c r="K134" s="4">
        <v>166996883.25999999</v>
      </c>
      <c r="L134" s="16">
        <f t="shared" si="89"/>
        <v>4.0389029008235785E-3</v>
      </c>
      <c r="M134" s="4">
        <v>1.4713000000000001</v>
      </c>
      <c r="N134" s="4">
        <v>1.4853000000000001</v>
      </c>
      <c r="O134" s="60">
        <v>268</v>
      </c>
      <c r="P134" s="5">
        <v>1.4200041359343718E-2</v>
      </c>
      <c r="Q134" s="5">
        <v>0.22485847485847477</v>
      </c>
      <c r="R134" s="81">
        <f t="shared" si="95"/>
        <v>1.3525515562534745E-2</v>
      </c>
      <c r="S134" s="81">
        <f t="shared" si="96"/>
        <v>1.4202799590303962E-2</v>
      </c>
      <c r="T134" s="81">
        <f t="shared" si="97"/>
        <v>7.5187969924812026E-3</v>
      </c>
      <c r="U134" s="81">
        <f t="shared" si="98"/>
        <v>1.0000041359343719E-2</v>
      </c>
      <c r="V134" s="83">
        <f t="shared" si="99"/>
        <v>1.715847485847477E-2</v>
      </c>
    </row>
    <row r="135" spans="1:24">
      <c r="A135" s="133">
        <v>112</v>
      </c>
      <c r="B135" s="119" t="s">
        <v>164</v>
      </c>
      <c r="C135" s="120" t="s">
        <v>25</v>
      </c>
      <c r="D135" s="9">
        <v>129179758.98</v>
      </c>
      <c r="E135" s="3">
        <f t="shared" si="88"/>
        <v>3.1695101009967907E-3</v>
      </c>
      <c r="F135" s="4">
        <v>127.4301</v>
      </c>
      <c r="G135" s="4">
        <v>127.92610000000001</v>
      </c>
      <c r="H135" s="60">
        <v>79</v>
      </c>
      <c r="I135" s="5">
        <v>1.6699999999999999E-4</v>
      </c>
      <c r="J135" s="5">
        <v>0.23019999999999999</v>
      </c>
      <c r="K135" s="9">
        <v>130262118.12</v>
      </c>
      <c r="L135" s="16">
        <f t="shared" si="89"/>
        <v>3.1504542867615897E-3</v>
      </c>
      <c r="M135" s="4">
        <v>128.53149999999999</v>
      </c>
      <c r="N135" s="4">
        <v>129.03540000000001</v>
      </c>
      <c r="O135" s="60">
        <v>82</v>
      </c>
      <c r="P135" s="5">
        <v>5.7600000000000001E-4</v>
      </c>
      <c r="Q135" s="5">
        <v>0.2409</v>
      </c>
      <c r="R135" s="81">
        <f t="shared" si="95"/>
        <v>8.3787053679793191E-3</v>
      </c>
      <c r="S135" s="81">
        <f t="shared" si="96"/>
        <v>8.6714126358890375E-3</v>
      </c>
      <c r="T135" s="81">
        <f t="shared" si="97"/>
        <v>3.7974683544303799E-2</v>
      </c>
      <c r="U135" s="81">
        <f t="shared" si="98"/>
        <v>4.0900000000000002E-4</v>
      </c>
      <c r="V135" s="83">
        <f t="shared" si="99"/>
        <v>1.0700000000000015E-2</v>
      </c>
    </row>
    <row r="136" spans="1:24">
      <c r="A136" s="136">
        <v>113</v>
      </c>
      <c r="B136" s="119" t="s">
        <v>165</v>
      </c>
      <c r="C136" s="120" t="s">
        <v>64</v>
      </c>
      <c r="D136" s="9">
        <v>182068531.46000001</v>
      </c>
      <c r="E136" s="3">
        <f t="shared" si="88"/>
        <v>4.4671708175695341E-3</v>
      </c>
      <c r="F136" s="4">
        <v>115.13</v>
      </c>
      <c r="G136" s="4">
        <v>117.18</v>
      </c>
      <c r="H136" s="60">
        <v>29</v>
      </c>
      <c r="I136" s="5">
        <v>5.1000000000000004E-3</v>
      </c>
      <c r="J136" s="5">
        <v>0.1171</v>
      </c>
      <c r="K136" s="9">
        <v>182459968.69</v>
      </c>
      <c r="L136" s="16">
        <f t="shared" si="89"/>
        <v>4.4128853331883459E-3</v>
      </c>
      <c r="M136" s="4">
        <v>115.38</v>
      </c>
      <c r="N136" s="4">
        <v>117.51</v>
      </c>
      <c r="O136" s="60">
        <v>29</v>
      </c>
      <c r="P136" s="5">
        <v>2.8E-3</v>
      </c>
      <c r="Q136" s="5">
        <v>0.11990000000000001</v>
      </c>
      <c r="R136" s="81">
        <f t="shared" si="95"/>
        <v>2.1499444569639263E-3</v>
      </c>
      <c r="S136" s="81">
        <f t="shared" si="96"/>
        <v>2.8161802355350595E-3</v>
      </c>
      <c r="T136" s="81">
        <f t="shared" si="97"/>
        <v>0</v>
      </c>
      <c r="U136" s="81">
        <f t="shared" si="98"/>
        <v>-2.3000000000000004E-3</v>
      </c>
      <c r="V136" s="83">
        <f t="shared" si="99"/>
        <v>2.8000000000000108E-3</v>
      </c>
    </row>
    <row r="137" spans="1:24" ht="15.75" customHeight="1">
      <c r="A137" s="137">
        <v>114</v>
      </c>
      <c r="B137" s="119" t="s">
        <v>166</v>
      </c>
      <c r="C137" s="120" t="s">
        <v>67</v>
      </c>
      <c r="D137" s="2">
        <v>469087731.86000001</v>
      </c>
      <c r="E137" s="3">
        <f t="shared" si="88"/>
        <v>1.1509375122879209E-2</v>
      </c>
      <c r="F137" s="4">
        <v>1.2684</v>
      </c>
      <c r="G137" s="4">
        <v>1.2684</v>
      </c>
      <c r="H137" s="60">
        <v>103</v>
      </c>
      <c r="I137" s="5">
        <v>8.6679920477136449E-3</v>
      </c>
      <c r="J137" s="5">
        <v>0.26432086157274159</v>
      </c>
      <c r="K137" s="2">
        <v>468779232.25999999</v>
      </c>
      <c r="L137" s="16">
        <f t="shared" si="89"/>
        <v>1.1337659506333258E-2</v>
      </c>
      <c r="M137" s="4">
        <v>1.2676000000000001</v>
      </c>
      <c r="N137" s="4">
        <v>1.2803</v>
      </c>
      <c r="O137" s="60">
        <v>103</v>
      </c>
      <c r="P137" s="5">
        <v>-6.3071586250387248E-4</v>
      </c>
      <c r="Q137" s="5">
        <v>0.2581181003137622</v>
      </c>
      <c r="R137" s="81">
        <f t="shared" si="95"/>
        <v>-6.5765864047814414E-4</v>
      </c>
      <c r="S137" s="81">
        <f t="shared" si="96"/>
        <v>9.3818984547461536E-3</v>
      </c>
      <c r="T137" s="81">
        <f t="shared" si="97"/>
        <v>0</v>
      </c>
      <c r="U137" s="81">
        <f t="shared" si="98"/>
        <v>-9.2987079102175175E-3</v>
      </c>
      <c r="V137" s="83">
        <f t="shared" si="99"/>
        <v>-6.2027612589793946E-3</v>
      </c>
      <c r="X137" s="109"/>
    </row>
    <row r="138" spans="1:24">
      <c r="A138" s="133">
        <v>115</v>
      </c>
      <c r="B138" s="119" t="s">
        <v>167</v>
      </c>
      <c r="C138" s="120" t="s">
        <v>27</v>
      </c>
      <c r="D138" s="4">
        <v>6866225575.0699997</v>
      </c>
      <c r="E138" s="3">
        <f t="shared" si="88"/>
        <v>0.16846734726665816</v>
      </c>
      <c r="F138" s="4">
        <v>259.66000000000003</v>
      </c>
      <c r="G138" s="4">
        <v>261.87</v>
      </c>
      <c r="H138" s="60">
        <v>5465</v>
      </c>
      <c r="I138" s="5">
        <v>7.9000000000000008E-3</v>
      </c>
      <c r="J138" s="5">
        <v>0.40720000000000001</v>
      </c>
      <c r="K138" s="4">
        <v>6916956963.1700001</v>
      </c>
      <c r="L138" s="16">
        <f t="shared" si="89"/>
        <v>0.167290053551022</v>
      </c>
      <c r="M138" s="4">
        <v>261.24</v>
      </c>
      <c r="N138" s="4">
        <v>263.48</v>
      </c>
      <c r="O138" s="60">
        <v>5469</v>
      </c>
      <c r="P138" s="5">
        <v>6.1000000000000004E-3</v>
      </c>
      <c r="Q138" s="5">
        <v>0.41510000000000002</v>
      </c>
      <c r="R138" s="81">
        <f t="shared" si="95"/>
        <v>7.3885408431958177E-3</v>
      </c>
      <c r="S138" s="81">
        <f t="shared" si="96"/>
        <v>6.1480887463245641E-3</v>
      </c>
      <c r="T138" s="81">
        <f t="shared" si="97"/>
        <v>7.319304666056725E-4</v>
      </c>
      <c r="U138" s="81">
        <f t="shared" si="98"/>
        <v>-1.8000000000000004E-3</v>
      </c>
      <c r="V138" s="83">
        <f t="shared" si="99"/>
        <v>7.9000000000000181E-3</v>
      </c>
    </row>
    <row r="139" spans="1:24">
      <c r="A139" s="134">
        <v>116</v>
      </c>
      <c r="B139" s="119" t="s">
        <v>168</v>
      </c>
      <c r="C139" s="120" t="s">
        <v>72</v>
      </c>
      <c r="D139" s="4">
        <v>2423299090.3099999</v>
      </c>
      <c r="E139" s="3">
        <f t="shared" si="88"/>
        <v>5.945723234909444E-2</v>
      </c>
      <c r="F139" s="4">
        <v>1.6891</v>
      </c>
      <c r="G139" s="4">
        <v>1.7184999999999999</v>
      </c>
      <c r="H139" s="60">
        <v>10316</v>
      </c>
      <c r="I139" s="5">
        <v>8.9999999999999993E-3</v>
      </c>
      <c r="J139" s="5">
        <v>0.31280000000000002</v>
      </c>
      <c r="K139" s="4">
        <v>2439013019.52</v>
      </c>
      <c r="L139" s="16">
        <f t="shared" si="89"/>
        <v>5.8988746181260945E-2</v>
      </c>
      <c r="M139" s="4">
        <v>1.6994</v>
      </c>
      <c r="N139" s="4">
        <v>1.7292000000000001</v>
      </c>
      <c r="O139" s="60">
        <v>10316</v>
      </c>
      <c r="P139" s="5">
        <v>6.1999999999999998E-3</v>
      </c>
      <c r="Q139" s="5">
        <v>0.32090000000000002</v>
      </c>
      <c r="R139" s="81">
        <f t="shared" si="95"/>
        <v>6.4845190892180949E-3</v>
      </c>
      <c r="S139" s="81">
        <f t="shared" si="96"/>
        <v>6.2263601978470497E-3</v>
      </c>
      <c r="T139" s="81">
        <f t="shared" si="97"/>
        <v>0</v>
      </c>
      <c r="U139" s="81">
        <f t="shared" si="98"/>
        <v>-2.7999999999999995E-3</v>
      </c>
      <c r="V139" s="83">
        <f t="shared" si="99"/>
        <v>8.0999999999999961E-3</v>
      </c>
    </row>
    <row r="140" spans="1:24">
      <c r="A140" s="132">
        <v>117</v>
      </c>
      <c r="B140" s="119" t="s">
        <v>169</v>
      </c>
      <c r="C140" s="120" t="s">
        <v>74</v>
      </c>
      <c r="D140" s="4">
        <v>171345333.40952507</v>
      </c>
      <c r="E140" s="3">
        <f t="shared" si="88"/>
        <v>4.2040701212659329E-3</v>
      </c>
      <c r="F140" s="4">
        <v>111.92965959811674</v>
      </c>
      <c r="G140" s="4">
        <v>115.43170137745858</v>
      </c>
      <c r="H140" s="60">
        <v>60</v>
      </c>
      <c r="I140" s="5">
        <v>1.9235910169999999E-2</v>
      </c>
      <c r="J140" s="5">
        <v>2.9324518212254E-2</v>
      </c>
      <c r="K140" s="4">
        <v>183670646.64915165</v>
      </c>
      <c r="L140" s="16">
        <f t="shared" si="89"/>
        <v>4.4421661833798295E-3</v>
      </c>
      <c r="M140" s="4">
        <v>114.48879767624999</v>
      </c>
      <c r="N140" s="4">
        <v>119.95726949009703</v>
      </c>
      <c r="O140" s="60">
        <v>60</v>
      </c>
      <c r="P140" s="5">
        <v>2.2864000000000001E-4</v>
      </c>
      <c r="Q140" s="5">
        <v>5.7730946750277123E-2</v>
      </c>
      <c r="R140" s="81">
        <f t="shared" si="95"/>
        <v>7.1932587800149703E-2</v>
      </c>
      <c r="S140" s="81">
        <f t="shared" si="96"/>
        <v>3.9205591346522448E-2</v>
      </c>
      <c r="T140" s="81">
        <f t="shared" si="97"/>
        <v>0</v>
      </c>
      <c r="U140" s="81">
        <f t="shared" si="98"/>
        <v>-1.900727017E-2</v>
      </c>
      <c r="V140" s="83">
        <f t="shared" si="99"/>
        <v>2.8406428538023124E-2</v>
      </c>
    </row>
    <row r="141" spans="1:24" ht="13.5" customHeight="1">
      <c r="A141" s="133">
        <v>118</v>
      </c>
      <c r="B141" s="119" t="s">
        <v>241</v>
      </c>
      <c r="C141" s="120" t="s">
        <v>32</v>
      </c>
      <c r="D141" s="2">
        <v>2633317408.6855001</v>
      </c>
      <c r="E141" s="3">
        <f t="shared" si="88"/>
        <v>6.4610169517746119E-2</v>
      </c>
      <c r="F141" s="4">
        <v>3.6223000000000001</v>
      </c>
      <c r="G141" s="4">
        <v>3.6896</v>
      </c>
      <c r="H141" s="60">
        <v>2261</v>
      </c>
      <c r="I141" s="5">
        <v>9.6722042591146362E-3</v>
      </c>
      <c r="J141" s="5">
        <v>0.17393699766658033</v>
      </c>
      <c r="K141" s="2">
        <v>2569270370.1487002</v>
      </c>
      <c r="L141" s="16">
        <f t="shared" si="89"/>
        <v>6.2139085163867964E-2</v>
      </c>
      <c r="M141" s="4">
        <v>3.5325000000000002</v>
      </c>
      <c r="N141" s="4">
        <v>3.6006</v>
      </c>
      <c r="O141" s="60">
        <v>2268</v>
      </c>
      <c r="P141" s="5">
        <v>-2.4790878723462972E-2</v>
      </c>
      <c r="Q141" s="5">
        <v>0.14483406792844189</v>
      </c>
      <c r="R141" s="81">
        <f t="shared" si="95"/>
        <v>-2.4321807285955292E-2</v>
      </c>
      <c r="S141" s="81">
        <f t="shared" si="96"/>
        <v>-2.4121856027753678E-2</v>
      </c>
      <c r="T141" s="81">
        <f t="shared" si="97"/>
        <v>3.0959752321981426E-3</v>
      </c>
      <c r="U141" s="81">
        <f t="shared" si="98"/>
        <v>-3.4463082982577609E-2</v>
      </c>
      <c r="V141" s="83">
        <f t="shared" si="99"/>
        <v>-2.9102929738138439E-2</v>
      </c>
    </row>
    <row r="142" spans="1:24">
      <c r="A142" s="134">
        <v>119</v>
      </c>
      <c r="B142" s="119" t="s">
        <v>170</v>
      </c>
      <c r="C142" s="120" t="s">
        <v>114</v>
      </c>
      <c r="D142" s="2">
        <v>182188029.22</v>
      </c>
      <c r="E142" s="3">
        <f t="shared" si="88"/>
        <v>4.4701027734762259E-3</v>
      </c>
      <c r="F142" s="4">
        <v>173.57557700000001</v>
      </c>
      <c r="G142" s="4">
        <v>178.74089900000001</v>
      </c>
      <c r="H142" s="60">
        <v>138</v>
      </c>
      <c r="I142" s="5">
        <v>6.6E-3</v>
      </c>
      <c r="J142" s="5">
        <v>0.187</v>
      </c>
      <c r="K142" s="2">
        <v>175235353.69</v>
      </c>
      <c r="L142" s="16">
        <f t="shared" si="89"/>
        <v>4.2381544165915165E-3</v>
      </c>
      <c r="M142" s="4">
        <v>174.72325900000001</v>
      </c>
      <c r="N142" s="4">
        <v>180.23189500000001</v>
      </c>
      <c r="O142" s="60">
        <v>138</v>
      </c>
      <c r="P142" s="5">
        <v>5.5999999999999999E-3</v>
      </c>
      <c r="Q142" s="5">
        <v>0.19689999999999999</v>
      </c>
      <c r="R142" s="81">
        <f t="shared" si="95"/>
        <v>-3.8162087595801052E-2</v>
      </c>
      <c r="S142" s="81">
        <f t="shared" si="96"/>
        <v>8.3416610766850596E-3</v>
      </c>
      <c r="T142" s="81">
        <f t="shared" si="97"/>
        <v>0</v>
      </c>
      <c r="U142" s="81">
        <f t="shared" si="98"/>
        <v>-1E-3</v>
      </c>
      <c r="V142" s="83">
        <f t="shared" si="99"/>
        <v>9.8999999999999921E-3</v>
      </c>
    </row>
    <row r="143" spans="1:24">
      <c r="A143" s="136">
        <v>120</v>
      </c>
      <c r="B143" s="119" t="s">
        <v>171</v>
      </c>
      <c r="C143" s="120" t="s">
        <v>29</v>
      </c>
      <c r="D143" s="2">
        <v>1548947186.78</v>
      </c>
      <c r="E143" s="3">
        <f t="shared" si="88"/>
        <v>3.8004435007266586E-2</v>
      </c>
      <c r="F143" s="4">
        <v>552.20000000000005</v>
      </c>
      <c r="G143" s="4">
        <v>552.20000000000005</v>
      </c>
      <c r="H143" s="60">
        <v>818</v>
      </c>
      <c r="I143" s="5">
        <v>1.1259999999999999E-2</v>
      </c>
      <c r="J143" s="5">
        <v>0.345835</v>
      </c>
      <c r="K143" s="2">
        <v>1550880624.8</v>
      </c>
      <c r="L143" s="16">
        <f t="shared" ref="L143:L150" si="100">(K143/$K$151)</f>
        <v>3.7508821314847604E-2</v>
      </c>
      <c r="M143" s="4">
        <v>552.22</v>
      </c>
      <c r="N143" s="4">
        <v>552.22</v>
      </c>
      <c r="O143" s="60">
        <v>818</v>
      </c>
      <c r="P143" s="5">
        <v>1.248E-3</v>
      </c>
      <c r="Q143" s="5">
        <v>0.34751300000000002</v>
      </c>
      <c r="R143" s="81">
        <f t="shared" si="95"/>
        <v>1.2482272065190761E-3</v>
      </c>
      <c r="S143" s="81">
        <f t="shared" si="96"/>
        <v>3.621876131832997E-5</v>
      </c>
      <c r="T143" s="81">
        <f t="shared" si="97"/>
        <v>0</v>
      </c>
      <c r="U143" s="81">
        <f t="shared" si="98"/>
        <v>-1.0012E-2</v>
      </c>
      <c r="V143" s="83">
        <f t="shared" si="99"/>
        <v>1.6780000000000128E-3</v>
      </c>
    </row>
    <row r="144" spans="1:24">
      <c r="A144" s="125">
        <v>121</v>
      </c>
      <c r="B144" s="119" t="s">
        <v>172</v>
      </c>
      <c r="C144" s="120" t="s">
        <v>80</v>
      </c>
      <c r="D144" s="2">
        <v>26171207.800000001</v>
      </c>
      <c r="E144" s="3">
        <f t="shared" si="88"/>
        <v>6.4212774611406846E-4</v>
      </c>
      <c r="F144" s="4">
        <v>1.58</v>
      </c>
      <c r="G144" s="4">
        <v>1.58</v>
      </c>
      <c r="H144" s="60">
        <v>8</v>
      </c>
      <c r="I144" s="5">
        <v>-7.4299999999999995E-4</v>
      </c>
      <c r="J144" s="5">
        <v>0.30302400000000002</v>
      </c>
      <c r="K144" s="2">
        <v>26219020.989999998</v>
      </c>
      <c r="L144" s="16">
        <f t="shared" si="100"/>
        <v>6.3412009772897428E-4</v>
      </c>
      <c r="M144" s="4">
        <v>1.58</v>
      </c>
      <c r="N144" s="4">
        <v>1.58</v>
      </c>
      <c r="O144" s="60">
        <v>8</v>
      </c>
      <c r="P144" s="5">
        <v>1.9970000000000001E-3</v>
      </c>
      <c r="Q144" s="5">
        <v>0.30562699999999998</v>
      </c>
      <c r="R144" s="81">
        <f t="shared" si="95"/>
        <v>1.8269386099940567E-3</v>
      </c>
      <c r="S144" s="81">
        <f t="shared" si="96"/>
        <v>0</v>
      </c>
      <c r="T144" s="81">
        <f t="shared" si="97"/>
        <v>0</v>
      </c>
      <c r="U144" s="81">
        <f t="shared" si="98"/>
        <v>2.7400000000000002E-3</v>
      </c>
      <c r="V144" s="83">
        <f t="shared" si="99"/>
        <v>2.6029999999999665E-3</v>
      </c>
    </row>
    <row r="145" spans="1:22">
      <c r="A145" s="134">
        <v>122</v>
      </c>
      <c r="B145" s="119" t="s">
        <v>173</v>
      </c>
      <c r="C145" s="120" t="s">
        <v>38</v>
      </c>
      <c r="D145" s="4">
        <v>198305307.72</v>
      </c>
      <c r="E145" s="3">
        <f t="shared" si="88"/>
        <v>4.865550770977424E-3</v>
      </c>
      <c r="F145" s="4">
        <v>2.0305089999999999</v>
      </c>
      <c r="G145" s="4">
        <v>2.0703260000000001</v>
      </c>
      <c r="H145" s="60">
        <v>115</v>
      </c>
      <c r="I145" s="5">
        <v>8.0000000000000004E-4</v>
      </c>
      <c r="J145" s="5">
        <v>0.28960000000000002</v>
      </c>
      <c r="K145" s="4">
        <v>215014833.28</v>
      </c>
      <c r="L145" s="16">
        <f t="shared" si="100"/>
        <v>5.200240967986376E-3</v>
      </c>
      <c r="M145" s="4">
        <v>2.2000000000000002</v>
      </c>
      <c r="N145" s="4">
        <v>2.2400000000000002</v>
      </c>
      <c r="O145" s="60">
        <v>115</v>
      </c>
      <c r="P145" s="5">
        <v>1.1000000000000001E-3</v>
      </c>
      <c r="Q145" s="5">
        <v>0.39750000000000002</v>
      </c>
      <c r="R145" s="81">
        <f t="shared" si="95"/>
        <v>8.4261615345128604E-2</v>
      </c>
      <c r="S145" s="81">
        <f t="shared" si="96"/>
        <v>8.1955208986410885E-2</v>
      </c>
      <c r="T145" s="81">
        <v>1.1200000000000001</v>
      </c>
      <c r="U145" s="81">
        <f t="shared" si="98"/>
        <v>3.0000000000000003E-4</v>
      </c>
      <c r="V145" s="83">
        <f t="shared" si="99"/>
        <v>0.1079</v>
      </c>
    </row>
    <row r="146" spans="1:22">
      <c r="A146" s="133">
        <v>123</v>
      </c>
      <c r="B146" s="119" t="s">
        <v>174</v>
      </c>
      <c r="C146" s="120" t="s">
        <v>42</v>
      </c>
      <c r="D146" s="2">
        <v>2158713052.0500002</v>
      </c>
      <c r="E146" s="3">
        <f t="shared" si="88"/>
        <v>5.2965440388268531E-2</v>
      </c>
      <c r="F146" s="4">
        <v>4796.1000000000004</v>
      </c>
      <c r="G146" s="4">
        <v>4838.97</v>
      </c>
      <c r="H146" s="60">
        <v>3590</v>
      </c>
      <c r="I146" s="5">
        <v>9.9000000000000008E-3</v>
      </c>
      <c r="J146" s="5">
        <v>0.316</v>
      </c>
      <c r="K146" s="2">
        <v>2200542789.6399999</v>
      </c>
      <c r="L146" s="3">
        <f t="shared" si="100"/>
        <v>5.3221224749601392E-2</v>
      </c>
      <c r="M146" s="4">
        <v>4836.0600000000004</v>
      </c>
      <c r="N146" s="4">
        <v>4878.7</v>
      </c>
      <c r="O146" s="60">
        <v>3616</v>
      </c>
      <c r="P146" s="5">
        <v>8.2000000000000007E-3</v>
      </c>
      <c r="Q146" s="5">
        <v>0.32679999999999998</v>
      </c>
      <c r="R146" s="81">
        <f t="shared" si="95"/>
        <v>1.9377164348117728E-2</v>
      </c>
      <c r="S146" s="81">
        <f t="shared" si="96"/>
        <v>8.2104249458044912E-3</v>
      </c>
      <c r="T146" s="81">
        <f t="shared" si="97"/>
        <v>7.2423398328690805E-3</v>
      </c>
      <c r="U146" s="81">
        <f t="shared" si="98"/>
        <v>-1.7000000000000001E-3</v>
      </c>
      <c r="V146" s="83">
        <f t="shared" si="99"/>
        <v>1.0799999999999976E-2</v>
      </c>
    </row>
    <row r="147" spans="1:22">
      <c r="A147" s="129">
        <v>124</v>
      </c>
      <c r="B147" s="119" t="s">
        <v>175</v>
      </c>
      <c r="C147" s="120" t="s">
        <v>45</v>
      </c>
      <c r="D147" s="4">
        <v>1598237154.0999999</v>
      </c>
      <c r="E147" s="3">
        <f t="shared" si="88"/>
        <v>3.9213796679188645E-2</v>
      </c>
      <c r="F147" s="4">
        <v>1.7798</v>
      </c>
      <c r="G147" s="4">
        <v>1.7912999999999999</v>
      </c>
      <c r="H147" s="60">
        <v>1926</v>
      </c>
      <c r="I147" s="5">
        <v>2.5600000000000001E-2</v>
      </c>
      <c r="J147" s="5">
        <v>0.37130000000000002</v>
      </c>
      <c r="K147" s="4">
        <v>1598844818.3299999</v>
      </c>
      <c r="L147" s="16">
        <f t="shared" si="100"/>
        <v>3.866885925449208E-2</v>
      </c>
      <c r="M147" s="4">
        <v>1.7774000000000001</v>
      </c>
      <c r="N147" s="4">
        <v>1.7891999999999999</v>
      </c>
      <c r="O147" s="60">
        <v>1934</v>
      </c>
      <c r="P147" s="5">
        <v>-1.2999999999999999E-3</v>
      </c>
      <c r="Q147" s="5">
        <v>0.39739999999999998</v>
      </c>
      <c r="R147" s="81">
        <f t="shared" si="95"/>
        <v>3.8020904997807241E-4</v>
      </c>
      <c r="S147" s="81">
        <f t="shared" si="96"/>
        <v>-1.1723329425556807E-3</v>
      </c>
      <c r="T147" s="81">
        <f t="shared" si="97"/>
        <v>4.1536863966770508E-3</v>
      </c>
      <c r="U147" s="81">
        <f t="shared" si="98"/>
        <v>-2.69E-2</v>
      </c>
      <c r="V147" s="83">
        <f t="shared" si="99"/>
        <v>2.6099999999999957E-2</v>
      </c>
    </row>
    <row r="148" spans="1:22">
      <c r="A148" s="129">
        <v>125</v>
      </c>
      <c r="B148" s="119" t="s">
        <v>176</v>
      </c>
      <c r="C148" s="120" t="s">
        <v>45</v>
      </c>
      <c r="D148" s="4">
        <v>840718489.21000004</v>
      </c>
      <c r="E148" s="3">
        <f t="shared" si="88"/>
        <v>2.0627579465126639E-2</v>
      </c>
      <c r="F148" s="4">
        <v>1.3564000000000001</v>
      </c>
      <c r="G148" s="4">
        <v>1.3656999999999999</v>
      </c>
      <c r="H148" s="60">
        <v>470</v>
      </c>
      <c r="I148" s="5">
        <v>6.0000000000000001E-3</v>
      </c>
      <c r="J148" s="5">
        <v>0.26190000000000002</v>
      </c>
      <c r="K148" s="4">
        <v>846946231.47000003</v>
      </c>
      <c r="L148" s="16">
        <f t="shared" si="100"/>
        <v>2.0483816969206481E-2</v>
      </c>
      <c r="M148" s="4">
        <v>1.3680000000000001</v>
      </c>
      <c r="N148" s="4">
        <v>1.3774</v>
      </c>
      <c r="O148" s="60">
        <v>459</v>
      </c>
      <c r="P148" s="5">
        <v>8.6E-3</v>
      </c>
      <c r="Q148" s="5">
        <v>0.29170000000000001</v>
      </c>
      <c r="R148" s="81">
        <f t="shared" si="95"/>
        <v>7.4076427959280733E-3</v>
      </c>
      <c r="S148" s="81">
        <f t="shared" si="96"/>
        <v>8.5670352200337141E-3</v>
      </c>
      <c r="T148" s="81">
        <f t="shared" si="97"/>
        <v>-2.3404255319148935E-2</v>
      </c>
      <c r="U148" s="81">
        <f t="shared" si="98"/>
        <v>2.5999999999999999E-3</v>
      </c>
      <c r="V148" s="83">
        <f t="shared" si="99"/>
        <v>2.9799999999999993E-2</v>
      </c>
    </row>
    <row r="149" spans="1:22">
      <c r="A149" s="133">
        <v>126</v>
      </c>
      <c r="B149" s="119" t="s">
        <v>177</v>
      </c>
      <c r="C149" s="120" t="s">
        <v>87</v>
      </c>
      <c r="D149" s="4">
        <v>6701843083.9499998</v>
      </c>
      <c r="E149" s="3">
        <f t="shared" si="88"/>
        <v>0.16443411504710803</v>
      </c>
      <c r="F149" s="4">
        <v>328.29</v>
      </c>
      <c r="G149" s="4">
        <v>331.92</v>
      </c>
      <c r="H149" s="60">
        <v>29</v>
      </c>
      <c r="I149" s="5">
        <v>5.4199999999999998E-2</v>
      </c>
      <c r="J149" s="5">
        <v>0.7339</v>
      </c>
      <c r="K149" s="4">
        <v>7162898834.0299997</v>
      </c>
      <c r="L149" s="16">
        <f t="shared" si="100"/>
        <v>0.17323828034579331</v>
      </c>
      <c r="M149" s="4">
        <v>350.99</v>
      </c>
      <c r="N149" s="4">
        <v>354.69</v>
      </c>
      <c r="O149" s="60">
        <v>29</v>
      </c>
      <c r="P149" s="5">
        <v>6.88E-2</v>
      </c>
      <c r="Q149" s="5">
        <v>0.8488</v>
      </c>
      <c r="R149" s="81">
        <f t="shared" si="95"/>
        <v>6.8795366334996055E-2</v>
      </c>
      <c r="S149" s="81">
        <f t="shared" si="96"/>
        <v>6.8600867678958732E-2</v>
      </c>
      <c r="T149" s="81">
        <f t="shared" si="97"/>
        <v>0</v>
      </c>
      <c r="U149" s="81">
        <f t="shared" si="98"/>
        <v>1.4600000000000002E-2</v>
      </c>
      <c r="V149" s="83">
        <f t="shared" si="99"/>
        <v>0.1149</v>
      </c>
    </row>
    <row r="150" spans="1:22">
      <c r="A150" s="125">
        <v>127</v>
      </c>
      <c r="B150" s="119" t="s">
        <v>178</v>
      </c>
      <c r="C150" s="120" t="s">
        <v>40</v>
      </c>
      <c r="D150" s="2">
        <v>276627458.85000002</v>
      </c>
      <c r="E150" s="3">
        <f t="shared" si="88"/>
        <v>6.7872361116101312E-3</v>
      </c>
      <c r="F150" s="4">
        <v>199.69</v>
      </c>
      <c r="G150" s="4">
        <v>202.79</v>
      </c>
      <c r="H150" s="60">
        <v>734</v>
      </c>
      <c r="I150" s="5">
        <v>1.37E-2</v>
      </c>
      <c r="J150" s="5">
        <v>0.42009999999999997</v>
      </c>
      <c r="K150" s="2">
        <v>280721032.12</v>
      </c>
      <c r="L150" s="16">
        <f t="shared" si="100"/>
        <v>6.7893781537612221E-3</v>
      </c>
      <c r="M150" s="4">
        <v>199.69</v>
      </c>
      <c r="N150" s="4">
        <v>202.79</v>
      </c>
      <c r="O150" s="60">
        <v>734</v>
      </c>
      <c r="P150" s="5">
        <v>1.37E-2</v>
      </c>
      <c r="Q150" s="5">
        <v>0.44450000000000001</v>
      </c>
      <c r="R150" s="81">
        <f t="shared" si="95"/>
        <v>1.4798145082985787E-2</v>
      </c>
      <c r="S150" s="81">
        <f t="shared" si="96"/>
        <v>0</v>
      </c>
      <c r="T150" s="81">
        <f t="shared" si="97"/>
        <v>0</v>
      </c>
      <c r="U150" s="81">
        <f t="shared" si="98"/>
        <v>0</v>
      </c>
      <c r="V150" s="83">
        <f t="shared" si="99"/>
        <v>2.4400000000000033E-2</v>
      </c>
    </row>
    <row r="151" spans="1:22">
      <c r="A151" s="84"/>
      <c r="B151" s="19"/>
      <c r="C151" s="71" t="s">
        <v>46</v>
      </c>
      <c r="D151" s="72">
        <f>SUM(D127:D150)</f>
        <v>40757011293.125015</v>
      </c>
      <c r="E151" s="104">
        <f>(D151/$D$177)</f>
        <v>1.9221544985494762E-2</v>
      </c>
      <c r="F151" s="30"/>
      <c r="G151" s="36"/>
      <c r="H151" s="65">
        <f>SUM(H127:H150)</f>
        <v>69916</v>
      </c>
      <c r="I151" s="37"/>
      <c r="J151" s="37"/>
      <c r="K151" s="72">
        <f>SUM(K127:K150)</f>
        <v>41347090375.940308</v>
      </c>
      <c r="L151" s="104">
        <f>(K151/$K$177)</f>
        <v>1.8361053880946013E-2</v>
      </c>
      <c r="M151" s="30"/>
      <c r="N151" s="36"/>
      <c r="O151" s="65">
        <f>SUM(O127:O150)</f>
        <v>69959</v>
      </c>
      <c r="P151" s="37"/>
      <c r="Q151" s="37"/>
      <c r="R151" s="81">
        <f t="shared" si="95"/>
        <v>1.4477977263137256E-2</v>
      </c>
      <c r="S151" s="81" t="e">
        <f t="shared" si="96"/>
        <v>#DIV/0!</v>
      </c>
      <c r="T151" s="81">
        <f t="shared" si="97"/>
        <v>6.1502374277704671E-4</v>
      </c>
      <c r="U151" s="81">
        <f t="shared" si="98"/>
        <v>0</v>
      </c>
      <c r="V151" s="83">
        <f t="shared" si="99"/>
        <v>0</v>
      </c>
    </row>
    <row r="152" spans="1:22" ht="8.25" customHeight="1">
      <c r="A152" s="142"/>
      <c r="B152" s="142"/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</row>
    <row r="153" spans="1:22" ht="15" customHeight="1">
      <c r="A153" s="140" t="s">
        <v>179</v>
      </c>
      <c r="B153" s="140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</row>
    <row r="154" spans="1:22">
      <c r="A154" s="125">
        <v>128</v>
      </c>
      <c r="B154" s="119" t="s">
        <v>180</v>
      </c>
      <c r="C154" s="120" t="s">
        <v>21</v>
      </c>
      <c r="D154" s="17">
        <v>744273521.63</v>
      </c>
      <c r="E154" s="3">
        <f>(D154/$D$157)</f>
        <v>0.1744729315446977</v>
      </c>
      <c r="F154" s="17">
        <v>53.634500000000003</v>
      </c>
      <c r="G154" s="17">
        <v>55.251600000000003</v>
      </c>
      <c r="H154" s="62">
        <v>1410</v>
      </c>
      <c r="I154" s="6">
        <v>5.4399999999999997E-2</v>
      </c>
      <c r="J154" s="6">
        <v>0.19289999999999999</v>
      </c>
      <c r="K154" s="17">
        <v>749401100.59000003</v>
      </c>
      <c r="L154" s="16">
        <f>(K154/$K$157)</f>
        <v>0.1746045936933964</v>
      </c>
      <c r="M154" s="17">
        <v>53.62</v>
      </c>
      <c r="N154" s="17">
        <v>55.236600000000003</v>
      </c>
      <c r="O154" s="62">
        <v>1414</v>
      </c>
      <c r="P154" s="6">
        <v>-1.4200000000000001E-2</v>
      </c>
      <c r="Q154" s="6">
        <v>0.18859999999999999</v>
      </c>
      <c r="R154" s="81">
        <f t="shared" ref="R154" si="101">((K154-D154)/D154)</f>
        <v>6.8893744181176267E-3</v>
      </c>
      <c r="S154" s="81">
        <f t="shared" ref="S154" si="102">((N154-G154)/G154)</f>
        <v>-2.7148535065048919E-4</v>
      </c>
      <c r="T154" s="81">
        <f t="shared" ref="T154" si="103">((O154-H154)/H154)</f>
        <v>2.8368794326241137E-3</v>
      </c>
      <c r="U154" s="81">
        <f t="shared" ref="U154" si="104">P154-I154</f>
        <v>-6.8599999999999994E-2</v>
      </c>
      <c r="V154" s="83">
        <f t="shared" ref="V154" si="105">Q154-J154</f>
        <v>-4.2999999999999983E-3</v>
      </c>
    </row>
    <row r="155" spans="1:22">
      <c r="A155" s="125">
        <v>129</v>
      </c>
      <c r="B155" s="119" t="s">
        <v>181</v>
      </c>
      <c r="C155" s="120" t="s">
        <v>182</v>
      </c>
      <c r="D155" s="99">
        <v>784691233.37</v>
      </c>
      <c r="E155" s="3">
        <f>(D155/$D$157)</f>
        <v>0.18394766959283157</v>
      </c>
      <c r="F155" s="17">
        <v>21.5913</v>
      </c>
      <c r="G155" s="17">
        <v>21.822500000000002</v>
      </c>
      <c r="H155" s="60">
        <v>1505</v>
      </c>
      <c r="I155" s="5">
        <v>1.6000000000000001E-3</v>
      </c>
      <c r="J155" s="5">
        <v>0.3664</v>
      </c>
      <c r="K155" s="99">
        <v>785678504.67999995</v>
      </c>
      <c r="L155" s="16">
        <f>(K155/$K$157)</f>
        <v>0.1830569450395563</v>
      </c>
      <c r="M155" s="17">
        <v>21.5913</v>
      </c>
      <c r="N155" s="17">
        <v>21.822500000000002</v>
      </c>
      <c r="O155" s="60">
        <v>1505</v>
      </c>
      <c r="P155" s="5">
        <v>6.6E-3</v>
      </c>
      <c r="Q155" s="5">
        <v>0.36699999999999999</v>
      </c>
      <c r="R155" s="81">
        <f t="shared" ref="R155:R157" si="106">((K155-D155)/D155)</f>
        <v>1.258165336905735E-3</v>
      </c>
      <c r="S155" s="81">
        <f t="shared" ref="S155:S157" si="107">((N155-G155)/G155)</f>
        <v>0</v>
      </c>
      <c r="T155" s="81">
        <f t="shared" ref="T155:T157" si="108">((O155-H155)/H155)</f>
        <v>0</v>
      </c>
      <c r="U155" s="81">
        <f t="shared" ref="U155:U157" si="109">P155-I155</f>
        <v>5.0000000000000001E-3</v>
      </c>
      <c r="V155" s="83">
        <f t="shared" ref="V155:V157" si="110">Q155-J155</f>
        <v>5.9999999999998943E-4</v>
      </c>
    </row>
    <row r="156" spans="1:22">
      <c r="A156" s="133">
        <v>130</v>
      </c>
      <c r="B156" s="119" t="s">
        <v>183</v>
      </c>
      <c r="C156" s="120" t="s">
        <v>42</v>
      </c>
      <c r="D156" s="9">
        <v>2736874736.7800002</v>
      </c>
      <c r="E156" s="3">
        <f>(D156/$D$157)</f>
        <v>0.64157939886247073</v>
      </c>
      <c r="F156" s="17">
        <v>1.99</v>
      </c>
      <c r="G156" s="17">
        <v>2.0099999999999998</v>
      </c>
      <c r="H156" s="60">
        <v>17791</v>
      </c>
      <c r="I156" s="5">
        <v>5.0000000000000001E-3</v>
      </c>
      <c r="J156" s="5">
        <v>0.39579999999999999</v>
      </c>
      <c r="K156" s="9">
        <v>2756909996.71</v>
      </c>
      <c r="L156" s="16">
        <f>(K156/$K$157)</f>
        <v>0.6423384612670473</v>
      </c>
      <c r="M156" s="17">
        <v>1.99</v>
      </c>
      <c r="N156" s="17">
        <v>2.02</v>
      </c>
      <c r="O156" s="60">
        <v>17806</v>
      </c>
      <c r="P156" s="5">
        <v>5.0000000000000001E-3</v>
      </c>
      <c r="Q156" s="5">
        <v>0.40279999999999999</v>
      </c>
      <c r="R156" s="81">
        <f t="shared" si="106"/>
        <v>7.3204884610728656E-3</v>
      </c>
      <c r="S156" s="81">
        <f t="shared" si="107"/>
        <v>4.975124378109568E-3</v>
      </c>
      <c r="T156" s="81">
        <f t="shared" si="108"/>
        <v>8.4312292732280369E-4</v>
      </c>
      <c r="U156" s="81">
        <f t="shared" si="109"/>
        <v>0</v>
      </c>
      <c r="V156" s="83">
        <f t="shared" si="110"/>
        <v>7.0000000000000062E-3</v>
      </c>
    </row>
    <row r="157" spans="1:22">
      <c r="A157" s="75"/>
      <c r="B157" s="19"/>
      <c r="C157" s="66" t="s">
        <v>46</v>
      </c>
      <c r="D157" s="72">
        <f>SUM(D154:D156)</f>
        <v>4265839491.7800002</v>
      </c>
      <c r="E157" s="104">
        <f>(D157/$D$177)</f>
        <v>2.0118262622946708E-3</v>
      </c>
      <c r="F157" s="30"/>
      <c r="G157" s="36"/>
      <c r="H157" s="65">
        <f>SUM(H154:H156)</f>
        <v>20706</v>
      </c>
      <c r="I157" s="37"/>
      <c r="J157" s="37"/>
      <c r="K157" s="72">
        <f>SUM(K154:K156)</f>
        <v>4291989601.98</v>
      </c>
      <c r="L157" s="104">
        <f>(K157/$K$177)</f>
        <v>1.9059491640618892E-3</v>
      </c>
      <c r="M157" s="30"/>
      <c r="N157" s="36"/>
      <c r="O157" s="65">
        <f>SUM(O154:O156)</f>
        <v>20725</v>
      </c>
      <c r="P157" s="37"/>
      <c r="Q157" s="37"/>
      <c r="R157" s="81">
        <f t="shared" si="106"/>
        <v>6.1301205191591004E-3</v>
      </c>
      <c r="S157" s="81" t="e">
        <f t="shared" si="107"/>
        <v>#DIV/0!</v>
      </c>
      <c r="T157" s="81">
        <f t="shared" si="108"/>
        <v>9.1760842267941663E-4</v>
      </c>
      <c r="U157" s="81">
        <f t="shared" si="109"/>
        <v>0</v>
      </c>
      <c r="V157" s="83">
        <f t="shared" si="110"/>
        <v>0</v>
      </c>
    </row>
    <row r="158" spans="1:22" ht="6" customHeight="1">
      <c r="A158" s="142"/>
      <c r="B158" s="142"/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</row>
    <row r="159" spans="1:22" ht="15" customHeight="1">
      <c r="A159" s="140" t="s">
        <v>184</v>
      </c>
      <c r="B159" s="140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</row>
    <row r="160" spans="1:22">
      <c r="A160" s="141" t="s">
        <v>233</v>
      </c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</row>
    <row r="161" spans="1:24">
      <c r="A161" s="125">
        <v>131</v>
      </c>
      <c r="B161" s="119" t="s">
        <v>185</v>
      </c>
      <c r="C161" s="120" t="s">
        <v>186</v>
      </c>
      <c r="D161" s="13">
        <v>3640572892.4699998</v>
      </c>
      <c r="E161" s="3">
        <f>(D161/$D$176)</f>
        <v>8.0447768578178813E-2</v>
      </c>
      <c r="F161" s="18">
        <v>1.78</v>
      </c>
      <c r="G161" s="18">
        <v>1.81</v>
      </c>
      <c r="H161" s="61">
        <v>14967</v>
      </c>
      <c r="I161" s="12">
        <v>4.1999999999999997E-3</v>
      </c>
      <c r="J161" s="12">
        <v>0.15620000000000001</v>
      </c>
      <c r="K161" s="13">
        <v>3659837010.8699999</v>
      </c>
      <c r="L161" s="3">
        <f>(K161/$K$176)</f>
        <v>8.0392308538332499E-2</v>
      </c>
      <c r="M161" s="18">
        <v>1.78</v>
      </c>
      <c r="N161" s="18">
        <v>1.81</v>
      </c>
      <c r="O161" s="61">
        <v>14968</v>
      </c>
      <c r="P161" s="12">
        <v>1.6000000000000001E-3</v>
      </c>
      <c r="Q161" s="12">
        <v>0.15790000000000001</v>
      </c>
      <c r="R161" s="81">
        <f t="shared" ref="R161" si="111">((K161-D161)/D161)</f>
        <v>5.2915073997955508E-3</v>
      </c>
      <c r="S161" s="81">
        <f t="shared" ref="S161:S162" si="112">((N161-G161)/G161)</f>
        <v>0</v>
      </c>
      <c r="T161" s="81">
        <f t="shared" ref="T161" si="113">((O161-H161)/H161)</f>
        <v>6.6813656711431815E-5</v>
      </c>
      <c r="U161" s="81">
        <f t="shared" ref="U161" si="114">P161-I161</f>
        <v>-2.5999999999999999E-3</v>
      </c>
      <c r="V161" s="83">
        <f t="shared" ref="V161" si="115">Q161-J161</f>
        <v>1.7000000000000071E-3</v>
      </c>
    </row>
    <row r="162" spans="1:24">
      <c r="A162" s="133">
        <v>132</v>
      </c>
      <c r="B162" s="119" t="s">
        <v>187</v>
      </c>
      <c r="C162" s="120" t="s">
        <v>42</v>
      </c>
      <c r="D162" s="13">
        <v>538412624.20000005</v>
      </c>
      <c r="E162" s="3">
        <f>(D162/$D$176)</f>
        <v>1.1897603885586392E-2</v>
      </c>
      <c r="F162" s="18">
        <v>366.08</v>
      </c>
      <c r="G162" s="18">
        <v>370.38</v>
      </c>
      <c r="H162" s="61">
        <v>1307</v>
      </c>
      <c r="I162" s="12">
        <v>-3.5000000000000001E-3</v>
      </c>
      <c r="J162" s="12">
        <v>0.39510000000000001</v>
      </c>
      <c r="K162" s="13">
        <v>526936691.64999998</v>
      </c>
      <c r="L162" s="3">
        <f>(K162/$K$176)</f>
        <v>1.1574738702701122E-2</v>
      </c>
      <c r="M162" s="18">
        <v>365.59</v>
      </c>
      <c r="N162" s="18">
        <v>369.98</v>
      </c>
      <c r="O162" s="61">
        <v>1313</v>
      </c>
      <c r="P162" s="12">
        <v>-1.1000000000000001E-3</v>
      </c>
      <c r="Q162" s="12">
        <v>0.39360000000000001</v>
      </c>
      <c r="R162" s="81">
        <f t="shared" ref="R162" si="116">((K162-D162)/D162)</f>
        <v>-2.1314382379223697E-2</v>
      </c>
      <c r="S162" s="81">
        <f t="shared" si="112"/>
        <v>-1.0799719207299997E-3</v>
      </c>
      <c r="T162" s="81">
        <f t="shared" ref="T162" si="117">((O162-H162)/H162)</f>
        <v>4.5906656465187455E-3</v>
      </c>
      <c r="U162" s="81">
        <f t="shared" ref="U162" si="118">P162-I162</f>
        <v>2.4000000000000002E-3</v>
      </c>
      <c r="V162" s="83">
        <f t="shared" ref="V162" si="119">Q162-J162</f>
        <v>-1.5000000000000013E-3</v>
      </c>
    </row>
    <row r="163" spans="1:24" ht="6" customHeight="1">
      <c r="A163" s="142"/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</row>
    <row r="164" spans="1:24" ht="15" customHeight="1">
      <c r="A164" s="141" t="s">
        <v>232</v>
      </c>
      <c r="B164" s="141"/>
      <c r="C164" s="14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</row>
    <row r="165" spans="1:24">
      <c r="A165" s="125">
        <v>133</v>
      </c>
      <c r="B165" s="119" t="s">
        <v>188</v>
      </c>
      <c r="C165" s="120" t="s">
        <v>189</v>
      </c>
      <c r="D165" s="2">
        <v>405319817.62</v>
      </c>
      <c r="E165" s="3">
        <f t="shared" ref="E165:E175" si="120">(D165/$D$176)</f>
        <v>8.9565779483461068E-3</v>
      </c>
      <c r="F165" s="2">
        <v>1026.18</v>
      </c>
      <c r="G165" s="2">
        <v>1026.18</v>
      </c>
      <c r="H165" s="60">
        <v>21</v>
      </c>
      <c r="I165" s="5">
        <v>2.5999999999999999E-3</v>
      </c>
      <c r="J165" s="5">
        <v>9.7199999999999995E-2</v>
      </c>
      <c r="K165" s="2">
        <v>405287451.23000002</v>
      </c>
      <c r="L165" s="3">
        <f t="shared" ref="L165:L175" si="121">(K165/$K$176)</f>
        <v>8.9025805600701606E-3</v>
      </c>
      <c r="M165" s="2">
        <v>1026.17</v>
      </c>
      <c r="N165" s="2">
        <v>1026.17</v>
      </c>
      <c r="O165" s="60">
        <v>21</v>
      </c>
      <c r="P165" s="5">
        <v>2.8999999999999998E-3</v>
      </c>
      <c r="Q165" s="5">
        <v>9.9000000000000005E-2</v>
      </c>
      <c r="R165" s="81">
        <f t="shared" ref="R165" si="122">((K165-D165)/D165)</f>
        <v>-7.985395382352164E-5</v>
      </c>
      <c r="S165" s="81">
        <f t="shared" ref="S165" si="123">((N165-G165)/G165)</f>
        <v>-9.744879066041927E-6</v>
      </c>
      <c r="T165" s="81">
        <f t="shared" ref="T165" si="124">((O165-H165)/H165)</f>
        <v>0</v>
      </c>
      <c r="U165" s="81">
        <f t="shared" ref="U165" si="125">P165-I165</f>
        <v>2.9999999999999992E-4</v>
      </c>
      <c r="V165" s="83">
        <f t="shared" ref="V165" si="126">Q165-J165</f>
        <v>1.8000000000000099E-3</v>
      </c>
      <c r="X165" s="70"/>
    </row>
    <row r="166" spans="1:24">
      <c r="A166" s="125">
        <v>134</v>
      </c>
      <c r="B166" s="119" t="s">
        <v>190</v>
      </c>
      <c r="C166" s="120" t="s">
        <v>58</v>
      </c>
      <c r="D166" s="2">
        <v>54047913.579999998</v>
      </c>
      <c r="E166" s="3">
        <f t="shared" si="120"/>
        <v>1.1943268744352103E-3</v>
      </c>
      <c r="F166" s="17">
        <v>108.64</v>
      </c>
      <c r="G166" s="17">
        <v>108.64</v>
      </c>
      <c r="H166" s="60">
        <v>60</v>
      </c>
      <c r="I166" s="5">
        <v>5.9999999999999995E-4</v>
      </c>
      <c r="J166" s="5">
        <v>0.1106</v>
      </c>
      <c r="K166" s="2">
        <v>54170476.539999999</v>
      </c>
      <c r="L166" s="3">
        <f t="shared" si="121"/>
        <v>1.1899135537287104E-3</v>
      </c>
      <c r="M166" s="17">
        <v>108.64</v>
      </c>
      <c r="N166" s="17">
        <v>108.64</v>
      </c>
      <c r="O166" s="60">
        <v>60</v>
      </c>
      <c r="P166" s="5">
        <v>1.6999999999999999E-3</v>
      </c>
      <c r="Q166" s="5">
        <v>0.1104</v>
      </c>
      <c r="R166" s="81">
        <f t="shared" ref="R166:R177" si="127">((K166-D166)/D166)</f>
        <v>2.2676723647914198E-3</v>
      </c>
      <c r="S166" s="81">
        <f t="shared" ref="S166:S176" si="128">((N166-G166)/G166)</f>
        <v>0</v>
      </c>
      <c r="T166" s="81">
        <f t="shared" ref="T166:T176" si="129">((O166-H166)/H166)</f>
        <v>0</v>
      </c>
      <c r="U166" s="81">
        <f t="shared" ref="U166:U176" si="130">P166-I166</f>
        <v>1.0999999999999998E-3</v>
      </c>
      <c r="V166" s="83">
        <f t="shared" ref="V166:V176" si="131">Q166-J166</f>
        <v>-2.0000000000000573E-4</v>
      </c>
    </row>
    <row r="167" spans="1:24">
      <c r="A167" s="136">
        <v>135</v>
      </c>
      <c r="B167" s="138" t="s">
        <v>191</v>
      </c>
      <c r="C167" s="120" t="s">
        <v>64</v>
      </c>
      <c r="D167" s="9">
        <v>54290952.549999997</v>
      </c>
      <c r="E167" s="3">
        <f t="shared" si="120"/>
        <v>1.1996974420330957E-3</v>
      </c>
      <c r="F167" s="17">
        <v>103.74</v>
      </c>
      <c r="G167" s="17">
        <v>110.71</v>
      </c>
      <c r="H167" s="60">
        <v>12</v>
      </c>
      <c r="I167" s="5">
        <v>1.8E-3</v>
      </c>
      <c r="J167" s="5">
        <v>8.1600000000000006E-2</v>
      </c>
      <c r="K167" s="9">
        <v>54319096.439999998</v>
      </c>
      <c r="L167" s="3">
        <f t="shared" si="121"/>
        <v>1.1931781518024088E-3</v>
      </c>
      <c r="M167" s="17">
        <v>103.8</v>
      </c>
      <c r="N167" s="17">
        <v>110.9</v>
      </c>
      <c r="O167" s="60">
        <v>10</v>
      </c>
      <c r="P167" s="5">
        <v>1.2999999999999999E-3</v>
      </c>
      <c r="Q167" s="5">
        <v>8.2900000000000001E-2</v>
      </c>
      <c r="R167" s="81">
        <f t="shared" si="127"/>
        <v>5.1839005723985216E-4</v>
      </c>
      <c r="S167" s="81">
        <f t="shared" si="128"/>
        <v>1.7161954656310355E-3</v>
      </c>
      <c r="T167" s="81">
        <f t="shared" si="129"/>
        <v>-0.16666666666666666</v>
      </c>
      <c r="U167" s="81">
        <f t="shared" si="130"/>
        <v>-5.0000000000000001E-4</v>
      </c>
      <c r="V167" s="83">
        <f t="shared" si="131"/>
        <v>1.2999999999999956E-3</v>
      </c>
    </row>
    <row r="168" spans="1:24">
      <c r="A168" s="133">
        <v>136</v>
      </c>
      <c r="B168" s="119" t="s">
        <v>192</v>
      </c>
      <c r="C168" s="120" t="s">
        <v>27</v>
      </c>
      <c r="D168" s="2">
        <v>8190670317.3400002</v>
      </c>
      <c r="E168" s="3">
        <f t="shared" si="120"/>
        <v>0.1809938077472395</v>
      </c>
      <c r="F168" s="17">
        <v>132.31</v>
      </c>
      <c r="G168" s="17">
        <v>132.31</v>
      </c>
      <c r="H168" s="60">
        <v>612</v>
      </c>
      <c r="I168" s="5">
        <v>2.8E-3</v>
      </c>
      <c r="J168" s="5">
        <v>0.1338</v>
      </c>
      <c r="K168" s="2">
        <v>8112601201.4700003</v>
      </c>
      <c r="L168" s="3">
        <f t="shared" si="121"/>
        <v>0.1782021267340502</v>
      </c>
      <c r="M168" s="17">
        <v>132.63999999999999</v>
      </c>
      <c r="N168" s="17">
        <v>132.63999999999999</v>
      </c>
      <c r="O168" s="60">
        <v>618</v>
      </c>
      <c r="P168" s="5">
        <v>2.5000000000000001E-3</v>
      </c>
      <c r="Q168" s="5">
        <v>0.1338</v>
      </c>
      <c r="R168" s="81">
        <f t="shared" si="127"/>
        <v>-9.5314684690365591E-3</v>
      </c>
      <c r="S168" s="81">
        <f t="shared" si="128"/>
        <v>2.4941425440252745E-3</v>
      </c>
      <c r="T168" s="81">
        <f t="shared" si="129"/>
        <v>9.8039215686274508E-3</v>
      </c>
      <c r="U168" s="81">
        <f t="shared" si="130"/>
        <v>-2.9999999999999992E-4</v>
      </c>
      <c r="V168" s="83">
        <f t="shared" si="131"/>
        <v>0</v>
      </c>
    </row>
    <row r="169" spans="1:24">
      <c r="A169" s="132">
        <v>137</v>
      </c>
      <c r="B169" s="119" t="s">
        <v>255</v>
      </c>
      <c r="C169" s="120" t="s">
        <v>56</v>
      </c>
      <c r="D169" s="2">
        <v>0</v>
      </c>
      <c r="E169" s="3">
        <f t="shared" ref="E169" si="132">(D169/$D$151)</f>
        <v>0</v>
      </c>
      <c r="F169" s="4">
        <v>0</v>
      </c>
      <c r="G169" s="4">
        <v>0</v>
      </c>
      <c r="H169" s="60">
        <v>0</v>
      </c>
      <c r="I169" s="5">
        <v>0</v>
      </c>
      <c r="J169" s="5">
        <v>0</v>
      </c>
      <c r="K169" s="2">
        <v>204422998.99470001</v>
      </c>
      <c r="L169" s="16">
        <f t="shared" ref="L169" si="133">(K169/$K$151)</f>
        <v>4.9440721737859664E-3</v>
      </c>
      <c r="M169" s="4">
        <v>1021.66081106247</v>
      </c>
      <c r="N169" s="4">
        <v>1021.66081106247</v>
      </c>
      <c r="O169" s="60">
        <v>6</v>
      </c>
      <c r="P169" s="5">
        <v>0.11910852031870003</v>
      </c>
      <c r="Q169" s="5">
        <v>0.11910852031870003</v>
      </c>
      <c r="R169" s="81" t="e">
        <f t="shared" si="127"/>
        <v>#DIV/0!</v>
      </c>
      <c r="S169" s="81" t="e">
        <f t="shared" si="128"/>
        <v>#DIV/0!</v>
      </c>
      <c r="T169" s="81" t="e">
        <f t="shared" si="129"/>
        <v>#DIV/0!</v>
      </c>
      <c r="U169" s="81">
        <f t="shared" si="130"/>
        <v>0.11910852031870003</v>
      </c>
      <c r="V169" s="83">
        <f t="shared" si="131"/>
        <v>0.11910852031870003</v>
      </c>
    </row>
    <row r="170" spans="1:24">
      <c r="A170" s="132">
        <v>138</v>
      </c>
      <c r="B170" s="119" t="s">
        <v>193</v>
      </c>
      <c r="C170" s="120" t="s">
        <v>186</v>
      </c>
      <c r="D170" s="2">
        <v>17599213916.599998</v>
      </c>
      <c r="E170" s="3">
        <f t="shared" si="120"/>
        <v>0.3888996402870864</v>
      </c>
      <c r="F170" s="7">
        <v>1204.22</v>
      </c>
      <c r="G170" s="7">
        <v>1204.22</v>
      </c>
      <c r="H170" s="60">
        <v>7178</v>
      </c>
      <c r="I170" s="5">
        <v>2.5000000000000001E-3</v>
      </c>
      <c r="J170" s="5">
        <v>0.1002</v>
      </c>
      <c r="K170" s="2">
        <v>17738946594.830002</v>
      </c>
      <c r="L170" s="3">
        <f t="shared" si="121"/>
        <v>0.38965529436448215</v>
      </c>
      <c r="M170" s="7">
        <v>1207.22</v>
      </c>
      <c r="N170" s="7">
        <v>1207.22</v>
      </c>
      <c r="O170" s="60">
        <v>7347</v>
      </c>
      <c r="P170" s="5">
        <v>2.3999999999999998E-3</v>
      </c>
      <c r="Q170" s="5">
        <v>0.1027</v>
      </c>
      <c r="R170" s="81">
        <f t="shared" si="127"/>
        <v>7.9397113355275575E-3</v>
      </c>
      <c r="S170" s="81">
        <f t="shared" si="128"/>
        <v>2.4912391423494045E-3</v>
      </c>
      <c r="T170" s="81">
        <f t="shared" si="129"/>
        <v>2.3544162719420451E-2</v>
      </c>
      <c r="U170" s="81">
        <f t="shared" si="130"/>
        <v>-1.0000000000000026E-4</v>
      </c>
      <c r="V170" s="83">
        <f t="shared" si="131"/>
        <v>2.5000000000000022E-3</v>
      </c>
    </row>
    <row r="171" spans="1:24">
      <c r="A171" s="132">
        <v>139</v>
      </c>
      <c r="B171" s="119" t="s">
        <v>194</v>
      </c>
      <c r="C171" s="120" t="s">
        <v>78</v>
      </c>
      <c r="D171" s="2">
        <v>783324604.75</v>
      </c>
      <c r="E171" s="3">
        <f t="shared" si="120"/>
        <v>1.7309560441671798E-2</v>
      </c>
      <c r="F171" s="14">
        <v>103.66</v>
      </c>
      <c r="G171" s="14">
        <v>103.66</v>
      </c>
      <c r="H171" s="60">
        <v>523</v>
      </c>
      <c r="I171" s="5">
        <v>2.3999999999999998E-3</v>
      </c>
      <c r="J171" s="5">
        <v>9.5399999999999999E-2</v>
      </c>
      <c r="K171" s="2">
        <v>922413234.55999994</v>
      </c>
      <c r="L171" s="3">
        <f t="shared" si="121"/>
        <v>2.0261811969315272E-2</v>
      </c>
      <c r="M171" s="14">
        <v>103.88</v>
      </c>
      <c r="N171" s="14">
        <v>103.88</v>
      </c>
      <c r="O171" s="60">
        <v>524</v>
      </c>
      <c r="P171" s="5">
        <v>2.0999999999999999E-3</v>
      </c>
      <c r="Q171" s="5">
        <v>9.7500000000000003E-2</v>
      </c>
      <c r="R171" s="81">
        <f t="shared" si="127"/>
        <v>0.17756193149887131</v>
      </c>
      <c r="S171" s="81">
        <f t="shared" si="128"/>
        <v>2.1223229789696977E-3</v>
      </c>
      <c r="T171" s="81">
        <f t="shared" si="129"/>
        <v>1.9120458891013384E-3</v>
      </c>
      <c r="U171" s="81">
        <f t="shared" si="130"/>
        <v>-2.9999999999999992E-4</v>
      </c>
      <c r="V171" s="83">
        <f t="shared" si="131"/>
        <v>2.1000000000000046E-3</v>
      </c>
    </row>
    <row r="172" spans="1:24" ht="15.75" customHeight="1">
      <c r="A172" s="133">
        <v>140</v>
      </c>
      <c r="B172" s="119" t="s">
        <v>195</v>
      </c>
      <c r="C172" s="120" t="s">
        <v>42</v>
      </c>
      <c r="D172" s="2">
        <v>8380527031</v>
      </c>
      <c r="E172" s="3">
        <f t="shared" si="120"/>
        <v>0.18518917738126725</v>
      </c>
      <c r="F172" s="14">
        <v>127.55</v>
      </c>
      <c r="G172" s="14">
        <v>127.55</v>
      </c>
      <c r="H172" s="60">
        <v>1934</v>
      </c>
      <c r="I172" s="5">
        <v>1.2999999999999999E-3</v>
      </c>
      <c r="J172" s="5">
        <v>5.3999999999999999E-2</v>
      </c>
      <c r="K172" s="2">
        <v>8186947107.7700005</v>
      </c>
      <c r="L172" s="3">
        <f t="shared" si="121"/>
        <v>0.17983521559021509</v>
      </c>
      <c r="M172" s="14">
        <v>127.72</v>
      </c>
      <c r="N172" s="14">
        <v>127.72</v>
      </c>
      <c r="O172" s="60">
        <v>1937</v>
      </c>
      <c r="P172" s="5">
        <v>1.2999999999999999E-3</v>
      </c>
      <c r="Q172" s="5">
        <v>5.5399999999999998E-2</v>
      </c>
      <c r="R172" s="81">
        <f t="shared" si="127"/>
        <v>-2.3098776785032429E-2</v>
      </c>
      <c r="S172" s="81">
        <f t="shared" si="128"/>
        <v>1.3328106624853134E-3</v>
      </c>
      <c r="T172" s="81">
        <f t="shared" si="129"/>
        <v>1.5511892450879006E-3</v>
      </c>
      <c r="U172" s="81">
        <f t="shared" si="130"/>
        <v>0</v>
      </c>
      <c r="V172" s="83">
        <f t="shared" si="131"/>
        <v>1.3999999999999985E-3</v>
      </c>
    </row>
    <row r="173" spans="1:24">
      <c r="A173" s="132">
        <v>141</v>
      </c>
      <c r="B173" s="119" t="s">
        <v>196</v>
      </c>
      <c r="C173" s="120" t="s">
        <v>45</v>
      </c>
      <c r="D173" s="2">
        <v>5223223240.5799999</v>
      </c>
      <c r="E173" s="3">
        <f t="shared" si="120"/>
        <v>0.11542047554094062</v>
      </c>
      <c r="F173" s="14">
        <v>1.1707000000000001</v>
      </c>
      <c r="G173" s="14">
        <v>1.1707000000000001</v>
      </c>
      <c r="H173" s="60">
        <v>580</v>
      </c>
      <c r="I173" s="5">
        <v>1.8E-3</v>
      </c>
      <c r="J173" s="5">
        <v>0.1057</v>
      </c>
      <c r="K173" s="2">
        <v>5277239006.6999998</v>
      </c>
      <c r="L173" s="3">
        <f t="shared" si="121"/>
        <v>0.11592030606748224</v>
      </c>
      <c r="M173" s="14">
        <v>1.1728000000000001</v>
      </c>
      <c r="N173" s="14">
        <v>1.1728000000000001</v>
      </c>
      <c r="O173" s="60">
        <v>580</v>
      </c>
      <c r="P173" s="5">
        <v>9.8000000000000004E-2</v>
      </c>
      <c r="Q173" s="5">
        <v>0.1148</v>
      </c>
      <c r="R173" s="81">
        <f t="shared" si="127"/>
        <v>1.0341462279525667E-2</v>
      </c>
      <c r="S173" s="81">
        <f t="shared" si="128"/>
        <v>1.7937985820449223E-3</v>
      </c>
      <c r="T173" s="81">
        <f t="shared" si="129"/>
        <v>0</v>
      </c>
      <c r="U173" s="81">
        <f t="shared" si="130"/>
        <v>9.6200000000000008E-2</v>
      </c>
      <c r="V173" s="83">
        <f t="shared" si="131"/>
        <v>9.099999999999997E-3</v>
      </c>
    </row>
    <row r="174" spans="1:24">
      <c r="A174" s="132">
        <v>142</v>
      </c>
      <c r="B174" s="119" t="s">
        <v>197</v>
      </c>
      <c r="C174" s="120" t="s">
        <v>198</v>
      </c>
      <c r="D174" s="2">
        <v>341937080.16000003</v>
      </c>
      <c r="E174" s="3">
        <f t="shared" ref="E174" si="134">(D174/$D$176)</f>
        <v>7.5559742671012986E-3</v>
      </c>
      <c r="F174" s="18">
        <v>98.868499999999997</v>
      </c>
      <c r="G174" s="18">
        <v>98.918700000000001</v>
      </c>
      <c r="H174" s="61">
        <v>145</v>
      </c>
      <c r="I174" s="5">
        <v>-4.5919999999999997E-3</v>
      </c>
      <c r="J174" s="5">
        <v>-1.1315E-2</v>
      </c>
      <c r="K174" s="2">
        <v>339215080.16000003</v>
      </c>
      <c r="L174" s="3">
        <f t="shared" ref="L174" si="135">(K174/$K$176)</f>
        <v>7.4512289219664856E-3</v>
      </c>
      <c r="M174" s="18">
        <v>98.946100000000001</v>
      </c>
      <c r="N174" s="18">
        <v>98.996200000000002</v>
      </c>
      <c r="O174" s="61">
        <v>147</v>
      </c>
      <c r="P174" s="5">
        <v>7.8399999999999997E-4</v>
      </c>
      <c r="Q174" s="5">
        <v>-1.0540000000000001E-2</v>
      </c>
      <c r="R174" s="81">
        <f t="shared" ref="R174" si="136">((K174-D174)/D174)</f>
        <v>-7.9605288748629283E-3</v>
      </c>
      <c r="S174" s="81">
        <f t="shared" ref="S174" si="137">((N174-G174)/G174)</f>
        <v>7.8347167926792977E-4</v>
      </c>
      <c r="T174" s="81">
        <f t="shared" ref="T174" si="138">((O174-H174)/H174)</f>
        <v>1.3793103448275862E-2</v>
      </c>
      <c r="U174" s="81">
        <f t="shared" ref="U174" si="139">P174-I174</f>
        <v>5.3759999999999997E-3</v>
      </c>
      <c r="V174" s="83">
        <f t="shared" ref="V174" si="140">Q174-J174</f>
        <v>7.7499999999999965E-4</v>
      </c>
    </row>
    <row r="175" spans="1:24">
      <c r="A175" s="132">
        <v>143</v>
      </c>
      <c r="B175" s="119" t="s">
        <v>245</v>
      </c>
      <c r="C175" s="120" t="s">
        <v>198</v>
      </c>
      <c r="D175" s="2">
        <v>42330000</v>
      </c>
      <c r="E175" s="3">
        <f t="shared" si="120"/>
        <v>9.353896061133107E-4</v>
      </c>
      <c r="F175" s="18">
        <v>100.1177</v>
      </c>
      <c r="G175" s="18">
        <v>100.1177</v>
      </c>
      <c r="H175" s="61">
        <v>50</v>
      </c>
      <c r="I175" s="5">
        <v>8.1999999999999998E-4</v>
      </c>
      <c r="J175" s="12">
        <v>1.1770000000000001E-3</v>
      </c>
      <c r="K175" s="2">
        <v>42380000</v>
      </c>
      <c r="L175" s="3">
        <f t="shared" si="121"/>
        <v>9.3092288693059271E-4</v>
      </c>
      <c r="M175" s="18">
        <v>100.11150000000001</v>
      </c>
      <c r="N175" s="18">
        <v>100.11150000000001</v>
      </c>
      <c r="O175" s="61">
        <v>51</v>
      </c>
      <c r="P175" s="5">
        <v>-6.0000000000000002E-5</v>
      </c>
      <c r="Q175" s="5">
        <v>1.1150000000000001E-3</v>
      </c>
      <c r="R175" s="81">
        <f t="shared" si="127"/>
        <v>1.1811953697141507E-3</v>
      </c>
      <c r="S175" s="81">
        <f t="shared" si="128"/>
        <v>-6.1927111789350487E-5</v>
      </c>
      <c r="T175" s="81">
        <f t="shared" si="129"/>
        <v>0.02</v>
      </c>
      <c r="U175" s="81">
        <f t="shared" si="130"/>
        <v>-8.8000000000000003E-4</v>
      </c>
      <c r="V175" s="83">
        <f t="shared" si="131"/>
        <v>-6.1999999999999989E-5</v>
      </c>
    </row>
    <row r="176" spans="1:24">
      <c r="A176" s="85"/>
      <c r="B176" s="19"/>
      <c r="C176" s="66" t="s">
        <v>46</v>
      </c>
      <c r="D176" s="59">
        <f>SUM(D161:D175)</f>
        <v>45253870390.850006</v>
      </c>
      <c r="E176" s="104">
        <f>(D176/$D$177)</f>
        <v>2.1342323146059557E-2</v>
      </c>
      <c r="F176" s="30"/>
      <c r="G176" s="34"/>
      <c r="H176" s="68">
        <f>SUM(H161:H175)</f>
        <v>27389</v>
      </c>
      <c r="I176" s="35"/>
      <c r="J176" s="35"/>
      <c r="K176" s="59">
        <f>SUM(K161:K175)</f>
        <v>45524715951.214706</v>
      </c>
      <c r="L176" s="104">
        <f>(K176/$K$177)</f>
        <v>2.0216217269339261E-2</v>
      </c>
      <c r="M176" s="30"/>
      <c r="N176" s="34"/>
      <c r="O176" s="68">
        <f>SUM(O161:O175)</f>
        <v>27582</v>
      </c>
      <c r="P176" s="35"/>
      <c r="Q176" s="35"/>
      <c r="R176" s="81">
        <f t="shared" si="127"/>
        <v>5.9850253254683664E-3</v>
      </c>
      <c r="S176" s="81" t="e">
        <f t="shared" si="128"/>
        <v>#DIV/0!</v>
      </c>
      <c r="T176" s="81">
        <f t="shared" si="129"/>
        <v>7.0466245573040272E-3</v>
      </c>
      <c r="U176" s="81">
        <f t="shared" si="130"/>
        <v>0</v>
      </c>
      <c r="V176" s="83">
        <f t="shared" si="131"/>
        <v>0</v>
      </c>
    </row>
    <row r="177" spans="1:22">
      <c r="A177" s="86"/>
      <c r="B177" s="38"/>
      <c r="C177" s="67" t="s">
        <v>199</v>
      </c>
      <c r="D177" s="69">
        <f>SUM(D22,D55,D89,D116,D124,D151,D157,D176)</f>
        <v>2120381651104.615</v>
      </c>
      <c r="E177" s="39"/>
      <c r="F177" s="39"/>
      <c r="G177" s="40"/>
      <c r="H177" s="69">
        <f>SUM(H22,H55,H89,H116,H124,H151,H157,H176)</f>
        <v>766746</v>
      </c>
      <c r="I177" s="41"/>
      <c r="J177" s="41"/>
      <c r="K177" s="69">
        <f>SUM(K22,K55,K89,K116,K124,K151,K157,K176)</f>
        <v>2251890912364.666</v>
      </c>
      <c r="L177" s="39"/>
      <c r="M177" s="39"/>
      <c r="N177" s="40"/>
      <c r="O177" s="69">
        <f>SUM(O22,O55,O89,O116,O124,O151,O157,O176)</f>
        <v>767517</v>
      </c>
      <c r="P177" s="42"/>
      <c r="Q177" s="69"/>
      <c r="R177" s="25">
        <f t="shared" si="127"/>
        <v>6.2021505039689971E-2</v>
      </c>
      <c r="S177" s="25"/>
      <c r="T177" s="25"/>
      <c r="U177" s="25"/>
      <c r="V177" s="25"/>
    </row>
    <row r="178" spans="1:22" ht="6.75" customHeight="1">
      <c r="A178" s="142"/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9"/>
    </row>
    <row r="179" spans="1:22" ht="15.75">
      <c r="A179" s="140" t="s">
        <v>200</v>
      </c>
      <c r="B179" s="140"/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</row>
    <row r="180" spans="1:22">
      <c r="A180" s="125">
        <v>1</v>
      </c>
      <c r="B180" s="119" t="s">
        <v>201</v>
      </c>
      <c r="C180" s="120" t="s">
        <v>202</v>
      </c>
      <c r="D180" s="2">
        <v>92548651821</v>
      </c>
      <c r="E180" s="3">
        <f>(D180/$D$182)</f>
        <v>0.97764471782494933</v>
      </c>
      <c r="F180" s="14">
        <v>108.4</v>
      </c>
      <c r="G180" s="14">
        <v>108.4</v>
      </c>
      <c r="H180" s="64">
        <v>0</v>
      </c>
      <c r="I180" s="20">
        <v>0</v>
      </c>
      <c r="J180" s="20">
        <v>0.13800000000000001</v>
      </c>
      <c r="K180" s="2">
        <v>92548651821</v>
      </c>
      <c r="L180" s="3">
        <f>(K180/$K$182)</f>
        <v>0.97827226454934602</v>
      </c>
      <c r="M180" s="14">
        <v>108.4</v>
      </c>
      <c r="N180" s="14">
        <v>108.4</v>
      </c>
      <c r="O180" s="64">
        <v>0</v>
      </c>
      <c r="P180" s="20">
        <v>0</v>
      </c>
      <c r="Q180" s="20">
        <v>0.13800000000000001</v>
      </c>
      <c r="R180" s="81">
        <f t="shared" ref="R180:R181" si="141">((K180-D180)/D180)</f>
        <v>0</v>
      </c>
      <c r="S180" s="81">
        <f t="shared" ref="S180:S181" si="142">((N180-G180)/G180)</f>
        <v>0</v>
      </c>
      <c r="T180" s="81" t="e">
        <f t="shared" ref="T180:T181" si="143">((O180-H180)/H180)</f>
        <v>#DIV/0!</v>
      </c>
      <c r="U180" s="81">
        <f t="shared" ref="U180:U181" si="144">P180-I180</f>
        <v>0</v>
      </c>
      <c r="V180" s="83">
        <f t="shared" ref="V180:V181" si="145">Q180-J180</f>
        <v>0</v>
      </c>
    </row>
    <row r="181" spans="1:22">
      <c r="A181" s="129">
        <v>2</v>
      </c>
      <c r="B181" s="119" t="s">
        <v>203</v>
      </c>
      <c r="C181" s="120" t="s">
        <v>45</v>
      </c>
      <c r="D181" s="2">
        <v>2116260834.49</v>
      </c>
      <c r="E181" s="3">
        <f>(D181/$D$182)</f>
        <v>2.2355282175050624E-2</v>
      </c>
      <c r="F181" s="21">
        <v>1000000</v>
      </c>
      <c r="G181" s="21">
        <v>1000000</v>
      </c>
      <c r="H181" s="64">
        <v>0</v>
      </c>
      <c r="I181" s="20">
        <v>0.16589999999999999</v>
      </c>
      <c r="J181" s="20">
        <v>0.16589999999999999</v>
      </c>
      <c r="K181" s="2">
        <v>2055534738.0799999</v>
      </c>
      <c r="L181" s="3">
        <f>(K181/$K$182)</f>
        <v>2.1727735450653922E-2</v>
      </c>
      <c r="M181" s="21">
        <v>1000000</v>
      </c>
      <c r="N181" s="21">
        <v>1000000</v>
      </c>
      <c r="O181" s="64">
        <v>0</v>
      </c>
      <c r="P181" s="20">
        <v>0.16600000000000001</v>
      </c>
      <c r="Q181" s="20">
        <v>0.16600000000000001</v>
      </c>
      <c r="R181" s="81">
        <f t="shared" si="141"/>
        <v>-2.8694996108376468E-2</v>
      </c>
      <c r="S181" s="81">
        <f t="shared" si="142"/>
        <v>0</v>
      </c>
      <c r="T181" s="81" t="e">
        <f t="shared" si="143"/>
        <v>#DIV/0!</v>
      </c>
      <c r="U181" s="81">
        <f t="shared" si="144"/>
        <v>1.0000000000001674E-4</v>
      </c>
      <c r="V181" s="83">
        <f t="shared" si="145"/>
        <v>1.0000000000001674E-4</v>
      </c>
    </row>
    <row r="182" spans="1:22">
      <c r="A182" s="38"/>
      <c r="B182" s="38"/>
      <c r="C182" s="67" t="s">
        <v>204</v>
      </c>
      <c r="D182" s="73">
        <f>SUM(D180:D181)</f>
        <v>94664912655.490005</v>
      </c>
      <c r="E182" s="24"/>
      <c r="F182" s="22"/>
      <c r="G182" s="22"/>
      <c r="H182" s="73">
        <f>SUM(H180:H181)</f>
        <v>0</v>
      </c>
      <c r="I182" s="23"/>
      <c r="J182" s="23"/>
      <c r="K182" s="73">
        <f>SUM(K180:K181)</f>
        <v>94604186559.080002</v>
      </c>
      <c r="L182" s="24"/>
      <c r="M182" s="22"/>
      <c r="N182" s="22"/>
      <c r="O182" s="23"/>
      <c r="P182" s="23"/>
      <c r="Q182" s="73"/>
      <c r="R182" s="25">
        <f>((K182-D182)/D182)</f>
        <v>-6.4148473501477322E-4</v>
      </c>
      <c r="S182" s="26"/>
      <c r="T182" s="26"/>
      <c r="U182" s="25">
        <f t="shared" ref="U182:V182" si="146">O182-H182</f>
        <v>0</v>
      </c>
      <c r="V182" s="87">
        <f t="shared" si="146"/>
        <v>0</v>
      </c>
    </row>
    <row r="183" spans="1:22" ht="8.25" customHeight="1">
      <c r="A183" s="139"/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9"/>
      <c r="P183" s="139"/>
      <c r="Q183" s="139"/>
      <c r="R183" s="139"/>
      <c r="S183" s="139"/>
      <c r="T183" s="139"/>
      <c r="U183" s="139"/>
      <c r="V183" s="139"/>
    </row>
    <row r="184" spans="1:22" ht="15.75">
      <c r="A184" s="140" t="s">
        <v>205</v>
      </c>
      <c r="B184" s="140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</row>
    <row r="185" spans="1:22">
      <c r="A185" s="132">
        <v>1</v>
      </c>
      <c r="B185" s="119" t="s">
        <v>206</v>
      </c>
      <c r="C185" s="120" t="s">
        <v>74</v>
      </c>
      <c r="D185" s="27">
        <v>712207853.46963394</v>
      </c>
      <c r="E185" s="10">
        <f t="shared" ref="E185:E196" si="147">(D185/$D$197)</f>
        <v>7.2469650154879703E-2</v>
      </c>
      <c r="F185" s="21">
        <v>163.97095740062943</v>
      </c>
      <c r="G185" s="21">
        <v>166.31704110279728</v>
      </c>
      <c r="H185" s="63">
        <v>103</v>
      </c>
      <c r="I185" s="28">
        <v>6.3011669433416006E-5</v>
      </c>
      <c r="J185" s="28">
        <v>0.25528714394099999</v>
      </c>
      <c r="K185" s="27">
        <v>726452518.43999994</v>
      </c>
      <c r="L185" s="10">
        <f t="shared" ref="L185:L196" si="148">(K185/$K$197)</f>
        <v>7.3603714768910117E-2</v>
      </c>
      <c r="M185" s="21">
        <v>164.27403011562251</v>
      </c>
      <c r="N185" s="21">
        <v>167.25049348221478</v>
      </c>
      <c r="O185" s="63">
        <v>103</v>
      </c>
      <c r="P185" s="28">
        <v>1.8483320000000001E-5</v>
      </c>
      <c r="Q185" s="28">
        <v>0.34112197008427225</v>
      </c>
      <c r="R185" s="81">
        <f t="shared" ref="R185" si="149">((K185-D185)/D185)</f>
        <v>2.0000713135878589E-2</v>
      </c>
      <c r="S185" s="81">
        <f t="shared" ref="S185" si="150">((N185-G185)/G185)</f>
        <v>5.6124878919686545E-3</v>
      </c>
      <c r="T185" s="81">
        <f t="shared" ref="T185" si="151">((O185-H185)/H185)</f>
        <v>0</v>
      </c>
      <c r="U185" s="81">
        <f t="shared" ref="U185" si="152">P185-I185</f>
        <v>-4.4528349433416004E-5</v>
      </c>
      <c r="V185" s="83">
        <f t="shared" ref="V185" si="153">Q185-J185</f>
        <v>8.5834826143272258E-2</v>
      </c>
    </row>
    <row r="186" spans="1:22">
      <c r="A186" s="125">
        <v>2</v>
      </c>
      <c r="B186" s="119" t="s">
        <v>207</v>
      </c>
      <c r="C186" s="120" t="s">
        <v>186</v>
      </c>
      <c r="D186" s="27">
        <v>737548708.15999997</v>
      </c>
      <c r="E186" s="10">
        <f t="shared" si="147"/>
        <v>7.504817110924708E-2</v>
      </c>
      <c r="F186" s="21">
        <v>20.98</v>
      </c>
      <c r="G186" s="21">
        <v>23.19</v>
      </c>
      <c r="H186" s="63">
        <v>138</v>
      </c>
      <c r="I186" s="28">
        <v>4.1000000000000003E-3</v>
      </c>
      <c r="J186" s="28">
        <v>0.42249999999999999</v>
      </c>
      <c r="K186" s="27">
        <v>735646200.54999995</v>
      </c>
      <c r="L186" s="10">
        <f t="shared" si="148"/>
        <v>7.453521288960438E-2</v>
      </c>
      <c r="M186" s="21">
        <v>20.92</v>
      </c>
      <c r="N186" s="21">
        <v>23.13</v>
      </c>
      <c r="O186" s="63">
        <v>138</v>
      </c>
      <c r="P186" s="28">
        <v>-2.5999999999999999E-3</v>
      </c>
      <c r="Q186" s="28">
        <v>0.41880000000000001</v>
      </c>
      <c r="R186" s="81">
        <f t="shared" ref="R186:R197" si="154">((K186-D186)/D186)</f>
        <v>-2.5795009725476927E-3</v>
      </c>
      <c r="S186" s="81">
        <f t="shared" ref="S186:S197" si="155">((N186-G186)/G186)</f>
        <v>-2.5873221216042375E-3</v>
      </c>
      <c r="T186" s="81">
        <f t="shared" ref="T186:T197" si="156">((O186-H186)/H186)</f>
        <v>0</v>
      </c>
      <c r="U186" s="81">
        <f t="shared" ref="U186:U197" si="157">P186-I186</f>
        <v>-6.7000000000000002E-3</v>
      </c>
      <c r="V186" s="83">
        <f t="shared" ref="V186:V197" si="158">Q186-J186</f>
        <v>-3.6999999999999811E-3</v>
      </c>
    </row>
    <row r="187" spans="1:22">
      <c r="A187" s="133">
        <v>3</v>
      </c>
      <c r="B187" s="119" t="s">
        <v>208</v>
      </c>
      <c r="C187" s="120" t="s">
        <v>36</v>
      </c>
      <c r="D187" s="27">
        <v>283008380.13</v>
      </c>
      <c r="E187" s="10">
        <f t="shared" si="147"/>
        <v>2.8797096520355572E-2</v>
      </c>
      <c r="F187" s="21">
        <v>21.116088999999999</v>
      </c>
      <c r="G187" s="21">
        <v>21.456337999999999</v>
      </c>
      <c r="H187" s="63">
        <v>65</v>
      </c>
      <c r="I187" s="28">
        <v>-4.4031480895795339E-3</v>
      </c>
      <c r="J187" s="28">
        <v>0.49143837996260342</v>
      </c>
      <c r="K187" s="27">
        <v>290451969.20999998</v>
      </c>
      <c r="L187" s="10">
        <f t="shared" si="148"/>
        <v>2.94284118412989E-2</v>
      </c>
      <c r="M187" s="21">
        <v>21.671476999999999</v>
      </c>
      <c r="N187" s="21">
        <v>22.020752000000002</v>
      </c>
      <c r="O187" s="63">
        <v>65</v>
      </c>
      <c r="P187" s="28">
        <v>2.6301656073155044E-2</v>
      </c>
      <c r="Q187" s="28">
        <v>0.53066567928668329</v>
      </c>
      <c r="R187" s="81">
        <f t="shared" si="154"/>
        <v>2.6301656073155037E-2</v>
      </c>
      <c r="S187" s="81">
        <f t="shared" si="155"/>
        <v>2.6305234378765047E-2</v>
      </c>
      <c r="T187" s="81">
        <f t="shared" si="156"/>
        <v>0</v>
      </c>
      <c r="U187" s="81">
        <f t="shared" si="157"/>
        <v>3.0704804162734578E-2</v>
      </c>
      <c r="V187" s="83">
        <f t="shared" si="158"/>
        <v>3.9227299324079867E-2</v>
      </c>
    </row>
    <row r="188" spans="1:22">
      <c r="A188" s="133">
        <v>4</v>
      </c>
      <c r="B188" s="119" t="s">
        <v>209</v>
      </c>
      <c r="C188" s="120" t="s">
        <v>36</v>
      </c>
      <c r="D188" s="27">
        <v>437381076.25</v>
      </c>
      <c r="E188" s="10">
        <f t="shared" si="147"/>
        <v>4.4505060462035055E-2</v>
      </c>
      <c r="F188" s="21">
        <v>32.821385999999997</v>
      </c>
      <c r="G188" s="21">
        <v>33.217059999999996</v>
      </c>
      <c r="H188" s="63">
        <v>61</v>
      </c>
      <c r="I188" s="28">
        <v>1.5306214068239399E-2</v>
      </c>
      <c r="J188" s="28">
        <v>0.88212498980645249</v>
      </c>
      <c r="K188" s="27">
        <v>456364986.06</v>
      </c>
      <c r="L188" s="10">
        <f t="shared" si="148"/>
        <v>4.6238614929176823E-2</v>
      </c>
      <c r="M188" s="21">
        <v>34.245952000000003</v>
      </c>
      <c r="N188" s="21">
        <v>34.653163999999997</v>
      </c>
      <c r="O188" s="63">
        <v>61</v>
      </c>
      <c r="P188" s="28">
        <v>4.340359206384381E-2</v>
      </c>
      <c r="Q188" s="28">
        <v>0.9638159750771782</v>
      </c>
      <c r="R188" s="81">
        <f t="shared" si="154"/>
        <v>4.34035920638439E-2</v>
      </c>
      <c r="S188" s="81">
        <f t="shared" si="155"/>
        <v>4.3233928589706629E-2</v>
      </c>
      <c r="T188" s="81">
        <f t="shared" si="156"/>
        <v>0</v>
      </c>
      <c r="U188" s="81">
        <f t="shared" si="157"/>
        <v>2.8097377995604411E-2</v>
      </c>
      <c r="V188" s="83">
        <f t="shared" si="158"/>
        <v>8.1690985270725713E-2</v>
      </c>
    </row>
    <row r="189" spans="1:22">
      <c r="A189" s="125">
        <v>5</v>
      </c>
      <c r="B189" s="119" t="s">
        <v>210</v>
      </c>
      <c r="C189" s="120" t="s">
        <v>211</v>
      </c>
      <c r="D189" s="27">
        <v>716487682.02999997</v>
      </c>
      <c r="E189" s="10">
        <f t="shared" si="147"/>
        <v>7.2905137740395087E-2</v>
      </c>
      <c r="F189" s="21">
        <v>16720</v>
      </c>
      <c r="G189" s="21">
        <v>18220</v>
      </c>
      <c r="H189" s="63">
        <v>223</v>
      </c>
      <c r="I189" s="28">
        <v>0.08</v>
      </c>
      <c r="J189" s="28">
        <v>1.07</v>
      </c>
      <c r="K189" s="27">
        <v>664897072.52999997</v>
      </c>
      <c r="L189" s="10">
        <f t="shared" si="148"/>
        <v>6.7366955492526776E-2</v>
      </c>
      <c r="M189" s="21">
        <v>16200</v>
      </c>
      <c r="N189" s="21">
        <v>17750</v>
      </c>
      <c r="O189" s="63">
        <v>223</v>
      </c>
      <c r="P189" s="28">
        <v>-7.0000000000000007E-2</v>
      </c>
      <c r="Q189" s="28">
        <v>0.92</v>
      </c>
      <c r="R189" s="81">
        <f t="shared" si="154"/>
        <v>-7.2004879907816552E-2</v>
      </c>
      <c r="S189" s="81">
        <f t="shared" si="155"/>
        <v>-2.579582875960483E-2</v>
      </c>
      <c r="T189" s="81">
        <f t="shared" si="156"/>
        <v>0</v>
      </c>
      <c r="U189" s="81">
        <f t="shared" si="157"/>
        <v>-0.15000000000000002</v>
      </c>
      <c r="V189" s="83">
        <f t="shared" si="158"/>
        <v>-0.15000000000000002</v>
      </c>
    </row>
    <row r="190" spans="1:22">
      <c r="A190" s="133">
        <v>6</v>
      </c>
      <c r="B190" s="119" t="s">
        <v>212</v>
      </c>
      <c r="C190" s="120" t="s">
        <v>213</v>
      </c>
      <c r="D190" s="27">
        <v>926454410.38</v>
      </c>
      <c r="E190" s="10">
        <f t="shared" si="147"/>
        <v>9.4269989691354278E-2</v>
      </c>
      <c r="F190" s="21">
        <v>460</v>
      </c>
      <c r="G190" s="21">
        <v>460</v>
      </c>
      <c r="H190" s="63">
        <v>46</v>
      </c>
      <c r="I190" s="28">
        <v>6.6E-3</v>
      </c>
      <c r="J190" s="28">
        <v>0.61960000000000004</v>
      </c>
      <c r="K190" s="27">
        <v>933263029.51999998</v>
      </c>
      <c r="L190" s="10">
        <f t="shared" si="148"/>
        <v>9.4557626390598684E-2</v>
      </c>
      <c r="M190" s="21">
        <v>460</v>
      </c>
      <c r="N190" s="21">
        <v>460</v>
      </c>
      <c r="O190" s="63">
        <v>46</v>
      </c>
      <c r="P190" s="28">
        <v>7.3000000000000001E-3</v>
      </c>
      <c r="Q190" s="28">
        <v>0.63119999999999998</v>
      </c>
      <c r="R190" s="81">
        <f t="shared" si="154"/>
        <v>7.3491140672613583E-3</v>
      </c>
      <c r="S190" s="81">
        <f t="shared" si="155"/>
        <v>0</v>
      </c>
      <c r="T190" s="81">
        <f t="shared" si="156"/>
        <v>0</v>
      </c>
      <c r="U190" s="81">
        <f t="shared" si="157"/>
        <v>7.000000000000001E-4</v>
      </c>
      <c r="V190" s="83">
        <f t="shared" si="158"/>
        <v>1.1599999999999944E-2</v>
      </c>
    </row>
    <row r="191" spans="1:22">
      <c r="A191" s="133">
        <v>7</v>
      </c>
      <c r="B191" s="119" t="s">
        <v>214</v>
      </c>
      <c r="C191" s="120" t="s">
        <v>213</v>
      </c>
      <c r="D191" s="27">
        <v>620634989.75</v>
      </c>
      <c r="E191" s="10">
        <f t="shared" si="147"/>
        <v>6.3151789694463847E-2</v>
      </c>
      <c r="F191" s="21">
        <v>639.99</v>
      </c>
      <c r="G191" s="21">
        <v>639.99</v>
      </c>
      <c r="H191" s="63">
        <v>377</v>
      </c>
      <c r="I191" s="28">
        <v>4.7999999999999996E-3</v>
      </c>
      <c r="J191" s="28">
        <v>0.4521</v>
      </c>
      <c r="K191" s="27">
        <v>621663353.42999995</v>
      </c>
      <c r="L191" s="10">
        <f t="shared" si="148"/>
        <v>6.2986542116207245E-2</v>
      </c>
      <c r="M191" s="21">
        <v>600</v>
      </c>
      <c r="N191" s="21">
        <v>600</v>
      </c>
      <c r="O191" s="63">
        <v>377</v>
      </c>
      <c r="P191" s="28">
        <v>1.6000000000000001E-3</v>
      </c>
      <c r="Q191" s="28">
        <v>0.45440000000000003</v>
      </c>
      <c r="R191" s="81">
        <f t="shared" si="154"/>
        <v>1.6569540824860455E-3</v>
      </c>
      <c r="S191" s="81">
        <f t="shared" si="155"/>
        <v>-6.2485351333614603E-2</v>
      </c>
      <c r="T191" s="81">
        <f t="shared" si="156"/>
        <v>0</v>
      </c>
      <c r="U191" s="81">
        <f t="shared" si="157"/>
        <v>-3.1999999999999997E-3</v>
      </c>
      <c r="V191" s="83">
        <f t="shared" si="158"/>
        <v>2.3000000000000242E-3</v>
      </c>
    </row>
    <row r="192" spans="1:22">
      <c r="A192" s="134">
        <v>8</v>
      </c>
      <c r="B192" s="119" t="s">
        <v>215</v>
      </c>
      <c r="C192" s="120" t="s">
        <v>216</v>
      </c>
      <c r="D192" s="27">
        <v>257816000.25</v>
      </c>
      <c r="E192" s="10">
        <f t="shared" si="147"/>
        <v>2.6233683399342761E-2</v>
      </c>
      <c r="F192" s="21">
        <v>11.36</v>
      </c>
      <c r="G192" s="21">
        <v>11.46</v>
      </c>
      <c r="H192" s="63">
        <v>50</v>
      </c>
      <c r="I192" s="28">
        <v>-4.3E-3</v>
      </c>
      <c r="J192" s="28">
        <v>0.95069999999999999</v>
      </c>
      <c r="K192" s="27">
        <v>258289485.59</v>
      </c>
      <c r="L192" s="10">
        <f t="shared" si="148"/>
        <v>2.6169729118703668E-2</v>
      </c>
      <c r="M192" s="21">
        <v>11.38</v>
      </c>
      <c r="N192" s="21">
        <v>11.48</v>
      </c>
      <c r="O192" s="63">
        <v>50</v>
      </c>
      <c r="P192" s="28">
        <v>0</v>
      </c>
      <c r="Q192" s="28">
        <v>0.95069999999999999</v>
      </c>
      <c r="R192" s="81">
        <f t="shared" si="154"/>
        <v>1.8365242635867149E-3</v>
      </c>
      <c r="S192" s="81">
        <f t="shared" si="155"/>
        <v>1.745200698080242E-3</v>
      </c>
      <c r="T192" s="81">
        <f t="shared" si="156"/>
        <v>0</v>
      </c>
      <c r="U192" s="81">
        <f t="shared" si="157"/>
        <v>4.3E-3</v>
      </c>
      <c r="V192" s="83">
        <f t="shared" si="158"/>
        <v>0</v>
      </c>
    </row>
    <row r="193" spans="1:22">
      <c r="A193" s="134">
        <v>9</v>
      </c>
      <c r="B193" s="119" t="s">
        <v>217</v>
      </c>
      <c r="C193" s="120" t="s">
        <v>216</v>
      </c>
      <c r="D193" s="29">
        <v>612434992.24000001</v>
      </c>
      <c r="E193" s="10">
        <f t="shared" si="147"/>
        <v>6.2317411151843749E-2</v>
      </c>
      <c r="F193" s="21">
        <v>7.52</v>
      </c>
      <c r="G193" s="21">
        <v>7.62</v>
      </c>
      <c r="H193" s="63">
        <v>79</v>
      </c>
      <c r="I193" s="28">
        <v>1.6199999999999999E-2</v>
      </c>
      <c r="J193" s="28">
        <v>0.77780000000000005</v>
      </c>
      <c r="K193" s="29">
        <v>648804571.84000003</v>
      </c>
      <c r="L193" s="10">
        <f t="shared" si="148"/>
        <v>6.5736473388550043E-2</v>
      </c>
      <c r="M193" s="21">
        <v>7.98</v>
      </c>
      <c r="N193" s="21">
        <v>8.08</v>
      </c>
      <c r="O193" s="63">
        <v>81</v>
      </c>
      <c r="P193" s="28">
        <v>6.25E-2</v>
      </c>
      <c r="Q193" s="28">
        <v>0.77780000000000005</v>
      </c>
      <c r="R193" s="81">
        <f t="shared" si="154"/>
        <v>5.9385208325502689E-2</v>
      </c>
      <c r="S193" s="81">
        <f t="shared" si="155"/>
        <v>6.0367454068241462E-2</v>
      </c>
      <c r="T193" s="81">
        <f t="shared" si="156"/>
        <v>2.5316455696202531E-2</v>
      </c>
      <c r="U193" s="81">
        <f t="shared" si="157"/>
        <v>4.6300000000000001E-2</v>
      </c>
      <c r="V193" s="83">
        <f t="shared" si="158"/>
        <v>0</v>
      </c>
    </row>
    <row r="194" spans="1:22" ht="15" customHeight="1">
      <c r="A194" s="134">
        <v>10</v>
      </c>
      <c r="B194" s="119" t="s">
        <v>218</v>
      </c>
      <c r="C194" s="120" t="s">
        <v>216</v>
      </c>
      <c r="D194" s="27">
        <v>456629558.52999997</v>
      </c>
      <c r="E194" s="10">
        <f t="shared" si="147"/>
        <v>4.6463661129029069E-2</v>
      </c>
      <c r="F194" s="21">
        <v>128.71</v>
      </c>
      <c r="G194" s="21">
        <v>130.71</v>
      </c>
      <c r="H194" s="63">
        <v>50</v>
      </c>
      <c r="I194" s="28">
        <v>0</v>
      </c>
      <c r="J194" s="28">
        <v>2.4500000000000001E-2</v>
      </c>
      <c r="K194" s="27">
        <v>470148906.81999999</v>
      </c>
      <c r="L194" s="10">
        <f t="shared" si="148"/>
        <v>4.7635193158673442E-2</v>
      </c>
      <c r="M194" s="21">
        <v>132.55000000000001</v>
      </c>
      <c r="N194" s="21">
        <v>134.55000000000001</v>
      </c>
      <c r="O194" s="63">
        <v>50</v>
      </c>
      <c r="P194" s="28">
        <v>0</v>
      </c>
      <c r="Q194" s="28">
        <v>2.4500000000000001E-2</v>
      </c>
      <c r="R194" s="81">
        <f t="shared" si="154"/>
        <v>2.9606818125226156E-2</v>
      </c>
      <c r="S194" s="81">
        <f t="shared" si="155"/>
        <v>2.9378012393849004E-2</v>
      </c>
      <c r="T194" s="81">
        <f t="shared" si="156"/>
        <v>0</v>
      </c>
      <c r="U194" s="81">
        <f t="shared" si="157"/>
        <v>0</v>
      </c>
      <c r="V194" s="83">
        <f t="shared" si="158"/>
        <v>0</v>
      </c>
    </row>
    <row r="195" spans="1:22">
      <c r="A195" s="134">
        <v>11</v>
      </c>
      <c r="B195" s="119" t="s">
        <v>219</v>
      </c>
      <c r="C195" s="120" t="s">
        <v>216</v>
      </c>
      <c r="D195" s="27">
        <v>3774377872.2199998</v>
      </c>
      <c r="E195" s="10">
        <f t="shared" si="147"/>
        <v>0.38405620300249171</v>
      </c>
      <c r="F195" s="21">
        <v>26.49</v>
      </c>
      <c r="G195" s="21">
        <v>26.69</v>
      </c>
      <c r="H195" s="63">
        <v>207</v>
      </c>
      <c r="I195" s="28">
        <v>0.1157</v>
      </c>
      <c r="J195" s="28">
        <v>0.46739999999999998</v>
      </c>
      <c r="K195" s="27">
        <v>3780433225.8299999</v>
      </c>
      <c r="L195" s="10">
        <f t="shared" si="148"/>
        <v>0.38303112976252135</v>
      </c>
      <c r="M195" s="21">
        <v>26.55</v>
      </c>
      <c r="N195" s="21">
        <v>26.75</v>
      </c>
      <c r="O195" s="63">
        <v>211</v>
      </c>
      <c r="P195" s="28">
        <v>-4.2599999999999999E-2</v>
      </c>
      <c r="Q195" s="28">
        <v>0.40489999999999998</v>
      </c>
      <c r="R195" s="81">
        <f t="shared" si="154"/>
        <v>1.6043315786075541E-3</v>
      </c>
      <c r="S195" s="81">
        <f t="shared" si="155"/>
        <v>2.2480329711501955E-3</v>
      </c>
      <c r="T195" s="81">
        <f t="shared" si="156"/>
        <v>1.932367149758454E-2</v>
      </c>
      <c r="U195" s="81">
        <f t="shared" si="157"/>
        <v>-0.1583</v>
      </c>
      <c r="V195" s="83">
        <f t="shared" si="158"/>
        <v>-6.25E-2</v>
      </c>
    </row>
    <row r="196" spans="1:22">
      <c r="A196" s="134">
        <v>12</v>
      </c>
      <c r="B196" s="119" t="s">
        <v>220</v>
      </c>
      <c r="C196" s="120" t="s">
        <v>216</v>
      </c>
      <c r="D196" s="29">
        <v>292689121.44</v>
      </c>
      <c r="E196" s="10">
        <f t="shared" si="147"/>
        <v>2.9782145944562046E-2</v>
      </c>
      <c r="F196" s="21">
        <v>27.71</v>
      </c>
      <c r="G196" s="21">
        <v>27.91</v>
      </c>
      <c r="H196" s="63">
        <v>45</v>
      </c>
      <c r="I196" s="28">
        <v>0</v>
      </c>
      <c r="J196" s="28">
        <v>0.17510000000000001</v>
      </c>
      <c r="K196" s="29">
        <v>283365311.77999997</v>
      </c>
      <c r="L196" s="10">
        <f t="shared" si="148"/>
        <v>2.8710396143228498E-2</v>
      </c>
      <c r="M196" s="21">
        <v>26.87</v>
      </c>
      <c r="N196" s="21">
        <v>27.07</v>
      </c>
      <c r="O196" s="63">
        <v>45</v>
      </c>
      <c r="P196" s="28">
        <v>-4.2200000000000001E-2</v>
      </c>
      <c r="Q196" s="28">
        <v>0.1255</v>
      </c>
      <c r="R196" s="81">
        <f t="shared" si="154"/>
        <v>-3.1855675448844337E-2</v>
      </c>
      <c r="S196" s="81">
        <f t="shared" si="155"/>
        <v>-3.009673951988534E-2</v>
      </c>
      <c r="T196" s="81">
        <f t="shared" si="156"/>
        <v>0</v>
      </c>
      <c r="U196" s="81">
        <f t="shared" si="157"/>
        <v>-4.2200000000000001E-2</v>
      </c>
      <c r="V196" s="83">
        <f t="shared" si="158"/>
        <v>-4.9600000000000005E-2</v>
      </c>
    </row>
    <row r="197" spans="1:22">
      <c r="A197" s="43"/>
      <c r="B197" s="43"/>
      <c r="C197" s="74" t="s">
        <v>221</v>
      </c>
      <c r="D197" s="73">
        <f>SUM(D185:D196)</f>
        <v>9827670644.8496342</v>
      </c>
      <c r="E197" s="24"/>
      <c r="F197" s="24"/>
      <c r="G197" s="22"/>
      <c r="H197" s="73">
        <f>SUM(H185:H196)</f>
        <v>1444</v>
      </c>
      <c r="I197" s="23"/>
      <c r="J197" s="23"/>
      <c r="K197" s="73">
        <f>SUM(K185:K196)</f>
        <v>9869780631.6000004</v>
      </c>
      <c r="L197" s="24"/>
      <c r="M197" s="24"/>
      <c r="N197" s="22"/>
      <c r="O197" s="73">
        <f>SUM(O185:O196)</f>
        <v>1450</v>
      </c>
      <c r="P197" s="23"/>
      <c r="Q197" s="23"/>
      <c r="R197" s="81">
        <f t="shared" si="154"/>
        <v>4.2848390297282402E-3</v>
      </c>
      <c r="S197" s="81" t="e">
        <f t="shared" si="155"/>
        <v>#DIV/0!</v>
      </c>
      <c r="T197" s="81">
        <f t="shared" si="156"/>
        <v>4.1551246537396124E-3</v>
      </c>
      <c r="U197" s="81">
        <f t="shared" si="157"/>
        <v>0</v>
      </c>
      <c r="V197" s="83">
        <f t="shared" si="158"/>
        <v>0</v>
      </c>
    </row>
    <row r="198" spans="1:22">
      <c r="A198" s="88"/>
      <c r="B198" s="88"/>
      <c r="C198" s="89" t="s">
        <v>222</v>
      </c>
      <c r="D198" s="90">
        <f>SUM(D177,D182,D197)</f>
        <v>2224874234404.9546</v>
      </c>
      <c r="E198" s="91"/>
      <c r="F198" s="91"/>
      <c r="G198" s="92"/>
      <c r="H198" s="90">
        <f>SUM(H177,H182,H197)</f>
        <v>768190</v>
      </c>
      <c r="I198" s="93"/>
      <c r="J198" s="93"/>
      <c r="K198" s="90">
        <f>SUM(K177,K182,K197)</f>
        <v>2356364879555.3462</v>
      </c>
      <c r="L198" s="91"/>
      <c r="M198" s="91"/>
      <c r="N198" s="92"/>
      <c r="O198" s="90">
        <f>SUM(O177,O182,O197)</f>
        <v>768967</v>
      </c>
      <c r="P198" s="94"/>
      <c r="Q198" s="90"/>
      <c r="R198" s="95"/>
      <c r="S198" s="96"/>
      <c r="T198" s="96"/>
      <c r="U198" s="97"/>
      <c r="V198" s="97"/>
    </row>
  </sheetData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:K48 D47:D48" name="Yield_2_1_2_3_1_2"/>
    <protectedRange password="CADF" sqref="K53 D53" name="Yield_2_1_2_4_1_2"/>
    <protectedRange password="CADF" sqref="O53:Q53 H53:J53" name="Yield_1_1_1_1_1_2"/>
    <protectedRange password="CADF" sqref="O47:Q48 H47:J48" name="Yield_1_1_2_1_1_1_1_1_2"/>
    <protectedRange password="CADF" sqref="K79 D79" name="Yield_2_1_2_1_1_2"/>
    <protectedRange password="CADF" sqref="O79:Q79 H79:J79" name="Yield_1_1_2_1_2_1_2"/>
    <protectedRange password="CADF" sqref="M79:N79 F79:G79" name="Fund Name_2_2_1_1_2"/>
    <protectedRange password="CADF" sqref="N77 G77" name="BidOffer Prices_2_1_1_1_1_1_1_1_1_1_2"/>
    <protectedRange password="CADF" sqref="K98:K99 D98:D99" name="Yield_2_1_2_6_3_2"/>
    <protectedRange password="CADF" sqref="K141 K149:K150 D141 D149:D150" name="Fund Name_1_1_1_2_2"/>
    <protectedRange password="CADF" sqref="O141:Q141 O149:Q150 H141:J141 H149:J150" name="Yield_1_1_2_2_2"/>
    <protectedRange password="CADF" sqref="M141:N141 M149:N150 F141:G141 F149:G150" name="Fund Name_1_1_1_1_2_2"/>
  </protectedRanges>
  <mergeCells count="31">
    <mergeCell ref="A90:V90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  <mergeCell ref="A159:V159"/>
    <mergeCell ref="A91:V91"/>
    <mergeCell ref="A92:V92"/>
    <mergeCell ref="A105:V105"/>
    <mergeCell ref="A106:V106"/>
    <mergeCell ref="A117:V117"/>
    <mergeCell ref="A118:V118"/>
    <mergeCell ref="A125:V125"/>
    <mergeCell ref="A126:V126"/>
    <mergeCell ref="A152:V152"/>
    <mergeCell ref="A153:V153"/>
    <mergeCell ref="A158:V158"/>
    <mergeCell ref="A183:V183"/>
    <mergeCell ref="A184:V184"/>
    <mergeCell ref="A160:V160"/>
    <mergeCell ref="A163:V163"/>
    <mergeCell ref="A164:V164"/>
    <mergeCell ref="A178:U178"/>
    <mergeCell ref="A179:V17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opLeftCell="B1" workbookViewId="0">
      <selection activeCell="Q1" sqref="Q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3"/>
      <c r="B1" s="103"/>
      <c r="C1" s="103"/>
    </row>
    <row r="2" spans="1:3">
      <c r="A2" s="103"/>
      <c r="B2" s="103"/>
      <c r="C2" s="103"/>
    </row>
    <row r="3" spans="1:3">
      <c r="A3" s="103"/>
      <c r="B3" s="103"/>
      <c r="C3" s="103"/>
    </row>
    <row r="4" spans="1:3" ht="33" customHeight="1">
      <c r="A4" s="111" t="s">
        <v>223</v>
      </c>
      <c r="B4" s="112" t="s">
        <v>251</v>
      </c>
      <c r="C4" s="112" t="s">
        <v>256</v>
      </c>
    </row>
    <row r="5" spans="1:3" ht="19.5" customHeight="1">
      <c r="A5" s="113" t="s">
        <v>15</v>
      </c>
      <c r="B5" s="47">
        <f>23002842288.0406/1000000000</f>
        <v>23.0028422880406</v>
      </c>
      <c r="C5" s="47">
        <f>23062133182.5075/1000000000</f>
        <v>23.062133182507498</v>
      </c>
    </row>
    <row r="6" spans="1:3" ht="16.5">
      <c r="A6" s="114" t="s">
        <v>47</v>
      </c>
      <c r="B6" s="48">
        <f>869196903201.498/1000000000</f>
        <v>869.196903201498</v>
      </c>
      <c r="C6" s="48">
        <f>870627800539.967/1000000000</f>
        <v>870.6278005399671</v>
      </c>
    </row>
    <row r="7" spans="1:3" ht="16.5">
      <c r="A7" s="114" t="s">
        <v>224</v>
      </c>
      <c r="B7" s="47">
        <f>291948133511.515/1000000000</f>
        <v>291.94813351151504</v>
      </c>
      <c r="C7" s="47">
        <f>288458901847.26/1000000000</f>
        <v>288.45890184725999</v>
      </c>
    </row>
    <row r="8" spans="1:3" ht="16.5">
      <c r="A8" s="114" t="s">
        <v>129</v>
      </c>
      <c r="B8" s="48">
        <f>749487239675.219/1000000000</f>
        <v>749.48723967521903</v>
      </c>
      <c r="C8" s="48">
        <f>882093775634.849/1000000000</f>
        <v>882.09377563484895</v>
      </c>
    </row>
    <row r="9" spans="1:3" ht="16.5">
      <c r="A9" s="114" t="s">
        <v>225</v>
      </c>
      <c r="B9" s="47">
        <f>96469811252.5869/1000000000</f>
        <v>96.469811252586894</v>
      </c>
      <c r="C9" s="47">
        <f>96484505230.9469/1000000000</f>
        <v>96.484505230946894</v>
      </c>
    </row>
    <row r="10" spans="1:3" ht="16.5">
      <c r="A10" s="114" t="s">
        <v>155</v>
      </c>
      <c r="B10" s="49">
        <f>40757011293.125/1000000000</f>
        <v>40.757011293124997</v>
      </c>
      <c r="C10" s="49">
        <f>41347090375.9403/1000000000</f>
        <v>41.347090375940297</v>
      </c>
    </row>
    <row r="11" spans="1:3" ht="16.5">
      <c r="A11" s="114" t="s">
        <v>179</v>
      </c>
      <c r="B11" s="47">
        <f>4265839491.78/1000000000</f>
        <v>4.2658394917800004</v>
      </c>
      <c r="C11" s="47">
        <f>4291989601.98/1000000000</f>
        <v>4.2919896019800001</v>
      </c>
    </row>
    <row r="12" spans="1:3" ht="16.5">
      <c r="A12" s="114" t="s">
        <v>226</v>
      </c>
      <c r="B12" s="47">
        <f>45253870390.85/1000000000</f>
        <v>45.253870390849997</v>
      </c>
      <c r="C12" s="47">
        <f>45524715951.2147/1000000000</f>
        <v>45.524715951214702</v>
      </c>
    </row>
    <row r="13" spans="1:3">
      <c r="A13" s="103"/>
      <c r="B13" s="103"/>
      <c r="C13" s="103"/>
    </row>
    <row r="16" spans="1:3" ht="16.5">
      <c r="B16" s="126"/>
      <c r="C16" s="47"/>
    </row>
    <row r="17" spans="1:3" ht="16.5">
      <c r="B17" s="121"/>
      <c r="C17" s="48"/>
    </row>
    <row r="18" spans="1:3" ht="16.5">
      <c r="A18" s="100"/>
      <c r="B18" s="127"/>
      <c r="C18" s="47"/>
    </row>
    <row r="19" spans="1:3" ht="16.5">
      <c r="A19" s="101"/>
      <c r="B19" s="121"/>
      <c r="C19" s="48"/>
    </row>
    <row r="20" spans="1:3" ht="16.5">
      <c r="A20" s="101"/>
      <c r="B20" s="127"/>
      <c r="C20" s="47"/>
    </row>
    <row r="21" spans="1:3" ht="16.5">
      <c r="A21" s="101"/>
      <c r="B21" s="121"/>
      <c r="C21" s="49"/>
    </row>
    <row r="22" spans="1:3" ht="16.5">
      <c r="A22" s="101"/>
      <c r="B22" s="128"/>
      <c r="C22" s="47"/>
    </row>
    <row r="23" spans="1:3" ht="16.5">
      <c r="A23" s="101"/>
      <c r="B23" s="121"/>
      <c r="C23" s="47"/>
    </row>
    <row r="24" spans="1:3" ht="16.5">
      <c r="A24" s="101"/>
      <c r="B24" s="121"/>
      <c r="C24" s="121"/>
    </row>
    <row r="25" spans="1:3" ht="16.5">
      <c r="A25" s="101"/>
      <c r="B25" s="110"/>
      <c r="C25" s="110"/>
    </row>
    <row r="26" spans="1:3" ht="16.5">
      <c r="A26" s="101"/>
      <c r="B26" s="110"/>
      <c r="C26" s="110"/>
    </row>
    <row r="27" spans="1:3">
      <c r="B27" s="105"/>
      <c r="C27" s="105"/>
    </row>
    <row r="28" spans="1:3">
      <c r="B28" s="105"/>
      <c r="C28" s="105"/>
    </row>
  </sheetData>
  <sheetProtection algorithmName="SHA-512" hashValue="i9pof+E2bTFQ8h3Ifx0IqLllFThal/0Pan7Z7BuaeG0fLYfKXwn2wMTvxOdEfR0bwQqZ+e8F0SAyT8UUqEfBng==" saltValue="GaCeUHKWqyGchNkbyWim+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Q1" sqref="Q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1" t="s">
        <v>223</v>
      </c>
      <c r="B1" s="115">
        <v>45268</v>
      </c>
    </row>
    <row r="2" spans="1:2" ht="16.5">
      <c r="A2" s="114" t="s">
        <v>179</v>
      </c>
      <c r="B2" s="47">
        <v>4291989601.98</v>
      </c>
    </row>
    <row r="3" spans="1:2" ht="16.5">
      <c r="A3" s="114" t="s">
        <v>15</v>
      </c>
      <c r="B3" s="47">
        <v>23062133182.5075</v>
      </c>
    </row>
    <row r="4" spans="1:2" ht="16.5">
      <c r="A4" s="114" t="s">
        <v>155</v>
      </c>
      <c r="B4" s="49">
        <v>41347090375.940308</v>
      </c>
    </row>
    <row r="5" spans="1:2" ht="16.5">
      <c r="A5" s="114" t="s">
        <v>226</v>
      </c>
      <c r="B5" s="47">
        <v>45524715951.214706</v>
      </c>
    </row>
    <row r="6" spans="1:2" ht="16.5">
      <c r="A6" s="114" t="s">
        <v>225</v>
      </c>
      <c r="B6" s="47">
        <v>96484505230.946899</v>
      </c>
    </row>
    <row r="7" spans="1:2" ht="16.5">
      <c r="A7" s="114" t="s">
        <v>224</v>
      </c>
      <c r="B7" s="47">
        <v>288458901847.26001</v>
      </c>
    </row>
    <row r="8" spans="1:2" ht="16.5">
      <c r="A8" s="114" t="s">
        <v>47</v>
      </c>
      <c r="B8" s="48">
        <v>870627800539.9668</v>
      </c>
    </row>
    <row r="9" spans="1:2" ht="16.5">
      <c r="A9" s="114" t="s">
        <v>129</v>
      </c>
      <c r="B9" s="48">
        <v>882093775634.84949</v>
      </c>
    </row>
    <row r="13" spans="1:2" ht="16.5">
      <c r="A13" s="114"/>
    </row>
    <row r="14" spans="1:2" ht="16.5">
      <c r="A14" s="102"/>
      <c r="B14" s="47"/>
    </row>
    <row r="15" spans="1:2" ht="16.5">
      <c r="A15" s="102"/>
      <c r="B15" s="47"/>
    </row>
    <row r="16" spans="1:2" ht="16.5">
      <c r="A16" s="102"/>
      <c r="B16" s="49"/>
    </row>
    <row r="17" spans="1:17" ht="16.5">
      <c r="A17" s="102"/>
      <c r="B17" s="47"/>
    </row>
    <row r="18" spans="1:17" ht="16.5">
      <c r="A18" s="102"/>
      <c r="B18" s="47"/>
    </row>
    <row r="19" spans="1:17" ht="16.5">
      <c r="A19" s="102"/>
      <c r="B19" s="47"/>
    </row>
    <row r="20" spans="1:17" ht="16.5">
      <c r="A20" s="102"/>
      <c r="B20" s="48"/>
    </row>
    <row r="21" spans="1:17" ht="16.5">
      <c r="A21" s="102"/>
      <c r="B21" s="48"/>
    </row>
    <row r="22" spans="1:17" ht="16.5">
      <c r="A22" s="98"/>
      <c r="B22" s="127"/>
    </row>
    <row r="32" spans="1:17" ht="16.5" customHeight="1">
      <c r="A32" s="152" t="s">
        <v>257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22"/>
    </row>
    <row r="33" spans="1:17" ht="15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22"/>
    </row>
  </sheetData>
  <sheetProtection algorithmName="SHA-512" hashValue="77vbiwCsaliDOtqb7W7BPpNGlKgrFPkVaUmOnwsujw1O+uqz+rzox8n77d3oDwvp5agUhAhQtmA3z9YNraOyzw==" saltValue="TWrOrsCAiCuwlxzzvk016A==" spinCount="100000" sheet="1" objects="1" scenarios="1"/>
  <sortState ref="B14:B21">
    <sortCondition ref="B14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0" zoomScaleNormal="110" workbookViewId="0">
      <selection activeCell="K1" sqref="K1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3.42578125" customWidth="1"/>
    <col min="6" max="6" width="13.85546875" customWidth="1"/>
    <col min="7" max="7" width="14.85546875" customWidth="1"/>
    <col min="8" max="9" width="13.140625" customWidth="1"/>
  </cols>
  <sheetData>
    <row r="1" spans="1:1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>
      <c r="A2" s="116" t="s">
        <v>234</v>
      </c>
      <c r="B2" s="117">
        <v>45219</v>
      </c>
      <c r="C2" s="117">
        <v>45226</v>
      </c>
      <c r="D2" s="117">
        <v>45233</v>
      </c>
      <c r="E2" s="117">
        <v>45240</v>
      </c>
      <c r="F2" s="117">
        <v>45247</v>
      </c>
      <c r="G2" s="117">
        <v>45254</v>
      </c>
      <c r="H2" s="117">
        <v>45261</v>
      </c>
      <c r="I2" s="117">
        <v>45268</v>
      </c>
      <c r="J2" s="105"/>
      <c r="K2" s="105"/>
    </row>
    <row r="3" spans="1:11">
      <c r="A3" s="116" t="s">
        <v>235</v>
      </c>
      <c r="B3" s="118">
        <v>2002190167303.2449</v>
      </c>
      <c r="C3" s="118">
        <v>1992052361749.9485</v>
      </c>
      <c r="D3" s="118">
        <v>1995029350611.7961</v>
      </c>
      <c r="E3" s="118">
        <v>2004454649356.7783</v>
      </c>
      <c r="F3" s="118">
        <v>2019879952817.2942</v>
      </c>
      <c r="G3" s="118">
        <v>2023797867882.8513</v>
      </c>
      <c r="H3" s="118">
        <v>2120381651104.615</v>
      </c>
      <c r="I3" s="118">
        <v>2251890912364.666</v>
      </c>
      <c r="J3" s="105"/>
      <c r="K3" s="105"/>
    </row>
    <row r="4" spans="1:11">
      <c r="A4" s="98"/>
      <c r="B4" s="98"/>
      <c r="C4" s="98"/>
      <c r="D4" s="98"/>
      <c r="E4" s="98"/>
      <c r="F4" s="98"/>
      <c r="G4" s="98"/>
      <c r="H4" s="98"/>
      <c r="I4" s="98"/>
    </row>
    <row r="5" spans="1:11">
      <c r="A5" s="98"/>
      <c r="B5" s="98"/>
      <c r="C5" s="98"/>
      <c r="D5" s="98"/>
      <c r="E5" s="98"/>
      <c r="F5" s="98"/>
      <c r="G5" s="98"/>
      <c r="H5" s="98"/>
      <c r="I5" s="98"/>
    </row>
    <row r="6" spans="1:11">
      <c r="A6" s="98"/>
      <c r="B6" s="98"/>
      <c r="C6" s="98"/>
      <c r="D6" s="98"/>
      <c r="E6" s="98"/>
      <c r="F6" s="98"/>
      <c r="G6" s="98"/>
      <c r="H6" s="98"/>
      <c r="I6" s="98"/>
    </row>
    <row r="7" spans="1:11">
      <c r="A7" s="98"/>
      <c r="B7" s="98"/>
      <c r="C7" s="98"/>
      <c r="D7" s="98"/>
      <c r="E7" s="98"/>
      <c r="F7" s="98"/>
      <c r="G7" s="98"/>
      <c r="H7" s="98"/>
      <c r="I7" s="98"/>
    </row>
    <row r="8" spans="1:11">
      <c r="A8" s="98"/>
      <c r="B8" s="98"/>
      <c r="C8" s="98"/>
      <c r="D8" s="98"/>
      <c r="E8" s="98"/>
      <c r="F8" s="98"/>
      <c r="G8" s="98"/>
      <c r="H8" s="98"/>
      <c r="I8" s="98"/>
    </row>
    <row r="9" spans="1:11">
      <c r="A9" s="98"/>
      <c r="B9" s="98"/>
      <c r="C9" s="98"/>
      <c r="D9" s="98"/>
      <c r="E9" s="98"/>
      <c r="F9" s="98"/>
      <c r="G9" s="98"/>
      <c r="H9" s="98"/>
      <c r="I9" s="98"/>
    </row>
    <row r="10" spans="1:11">
      <c r="A10" s="98"/>
      <c r="B10" s="98"/>
      <c r="C10" s="98"/>
      <c r="D10" s="98"/>
      <c r="E10" s="98"/>
      <c r="F10" s="98"/>
      <c r="G10" s="98"/>
      <c r="H10" s="98"/>
      <c r="I10" s="98"/>
    </row>
    <row r="11" spans="1:11">
      <c r="A11" s="98"/>
      <c r="B11" s="98"/>
      <c r="C11" s="98"/>
      <c r="D11" s="98"/>
      <c r="E11" s="98"/>
      <c r="F11" s="98"/>
      <c r="G11" s="98"/>
      <c r="H11" s="98"/>
      <c r="I11" s="98"/>
    </row>
    <row r="12" spans="1:11">
      <c r="A12" s="98"/>
      <c r="B12" s="98"/>
      <c r="C12" s="98"/>
      <c r="D12" s="98"/>
      <c r="E12" s="98"/>
      <c r="F12" s="98"/>
      <c r="G12" s="98"/>
      <c r="H12" s="98"/>
      <c r="I12" s="98"/>
    </row>
    <row r="13" spans="1:11">
      <c r="A13" s="98"/>
      <c r="B13" s="98"/>
      <c r="C13" s="98"/>
      <c r="D13" s="98"/>
      <c r="E13" s="98"/>
      <c r="F13" s="98"/>
      <c r="G13" s="98"/>
      <c r="H13" s="98"/>
      <c r="I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</row>
    <row r="15" spans="1:11">
      <c r="A15" s="98"/>
      <c r="B15" s="98"/>
      <c r="C15" s="98"/>
      <c r="D15" s="98"/>
      <c r="E15" s="98"/>
      <c r="F15" s="98"/>
      <c r="G15" s="98"/>
      <c r="H15" s="98"/>
      <c r="I15" s="98"/>
    </row>
    <row r="16" spans="1:11">
      <c r="A16" s="98"/>
      <c r="B16" s="98"/>
      <c r="C16" s="98"/>
      <c r="D16" s="98"/>
      <c r="E16" s="98"/>
      <c r="F16" s="98"/>
      <c r="G16" s="98"/>
      <c r="H16" s="98"/>
      <c r="I16" s="98"/>
    </row>
    <row r="17" spans="1:9">
      <c r="A17" s="98"/>
      <c r="B17" s="98"/>
      <c r="C17" s="98"/>
      <c r="D17" s="98"/>
      <c r="E17" s="98"/>
      <c r="F17" s="98"/>
      <c r="G17" s="98"/>
      <c r="H17" s="98"/>
      <c r="I17" s="98"/>
    </row>
    <row r="18" spans="1:9">
      <c r="A18" s="98"/>
      <c r="B18" s="98"/>
      <c r="C18" s="98"/>
      <c r="D18" s="98"/>
      <c r="E18" s="98"/>
      <c r="F18" s="98"/>
      <c r="G18" s="98"/>
      <c r="H18" s="98"/>
      <c r="I18" s="98"/>
    </row>
    <row r="19" spans="1:9">
      <c r="A19" s="98"/>
      <c r="B19" s="98"/>
      <c r="C19" s="98"/>
      <c r="D19" s="98"/>
      <c r="E19" s="98"/>
      <c r="F19" s="98"/>
      <c r="G19" s="98"/>
      <c r="H19" s="98"/>
      <c r="I19" s="98"/>
    </row>
    <row r="20" spans="1:9">
      <c r="A20" s="98"/>
      <c r="B20" s="98"/>
      <c r="C20" s="98"/>
      <c r="D20" s="98"/>
      <c r="E20" s="98"/>
      <c r="F20" s="98"/>
      <c r="G20" s="98"/>
      <c r="H20" s="98"/>
      <c r="I20" s="98"/>
    </row>
    <row r="21" spans="1:9">
      <c r="A21" s="98"/>
      <c r="B21" s="98"/>
      <c r="C21" s="98"/>
      <c r="D21" s="98"/>
      <c r="E21" s="98"/>
      <c r="F21" s="98"/>
      <c r="G21" s="98"/>
      <c r="H21" s="98"/>
      <c r="I21" s="98"/>
    </row>
    <row r="22" spans="1:9">
      <c r="A22" s="98"/>
      <c r="B22" s="98"/>
      <c r="C22" s="98"/>
      <c r="D22" s="98"/>
      <c r="E22" s="98"/>
      <c r="F22" s="98"/>
      <c r="G22" s="98"/>
      <c r="H22" s="98"/>
      <c r="I22" s="98"/>
    </row>
    <row r="23" spans="1:9">
      <c r="A23" s="98"/>
      <c r="B23" s="98"/>
      <c r="C23" s="98"/>
      <c r="D23" s="98"/>
      <c r="E23" s="98"/>
      <c r="F23" s="98"/>
      <c r="G23" s="98"/>
      <c r="H23" s="98"/>
      <c r="I23" s="98"/>
    </row>
    <row r="24" spans="1:9">
      <c r="A24" s="98"/>
      <c r="B24" s="98"/>
      <c r="C24" s="98"/>
      <c r="D24" s="98"/>
      <c r="E24" s="98"/>
      <c r="F24" s="98"/>
      <c r="G24" s="98"/>
      <c r="H24" s="98"/>
      <c r="I24" s="98"/>
    </row>
    <row r="25" spans="1:9">
      <c r="A25" s="98"/>
      <c r="B25" s="98"/>
      <c r="C25" s="98"/>
      <c r="D25" s="98"/>
      <c r="E25" s="98"/>
      <c r="F25" s="98"/>
      <c r="G25" s="98"/>
      <c r="H25" s="98"/>
      <c r="I25" s="98"/>
    </row>
    <row r="26" spans="1:9">
      <c r="A26" s="98"/>
      <c r="B26" s="98"/>
      <c r="C26" s="98"/>
      <c r="D26" s="98"/>
      <c r="E26" s="98"/>
      <c r="F26" s="98"/>
      <c r="G26" s="98"/>
      <c r="H26" s="98"/>
      <c r="I26" s="98"/>
    </row>
    <row r="27" spans="1:9">
      <c r="A27" s="98"/>
      <c r="B27" s="98"/>
      <c r="C27" s="98"/>
      <c r="D27" s="98"/>
      <c r="E27" s="98"/>
      <c r="F27" s="98"/>
      <c r="G27" s="98"/>
      <c r="H27" s="98"/>
      <c r="I27" s="98"/>
    </row>
    <row r="28" spans="1:9">
      <c r="A28" s="98"/>
      <c r="B28" s="98"/>
      <c r="C28" s="98"/>
      <c r="D28" s="98"/>
      <c r="E28" s="98"/>
      <c r="F28" s="98"/>
      <c r="G28" s="98"/>
      <c r="H28" s="98"/>
      <c r="I28" s="98"/>
    </row>
    <row r="29" spans="1:9">
      <c r="A29" s="98"/>
      <c r="B29" s="98"/>
      <c r="C29" s="98"/>
      <c r="D29" s="98"/>
      <c r="E29" s="98"/>
      <c r="F29" s="98"/>
      <c r="G29" s="98"/>
      <c r="H29" s="98"/>
      <c r="I29" s="98"/>
    </row>
  </sheetData>
  <sheetProtection algorithmName="SHA-512" hashValue="XSz0o2PRZJSDxIkbU0hPoAMhHirPtzzJ5wBYohZxDnfOD5T2OJnIbhq6bypgx9QwaMTU3v7p54ikeR7Vwmqa4A==" saltValue="gdvbQd8S12Xu0E/UIu8vB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2" ht="16.5">
      <c r="A1" s="44" t="s">
        <v>223</v>
      </c>
      <c r="B1" s="45">
        <v>45212</v>
      </c>
      <c r="C1" s="45">
        <v>45219</v>
      </c>
      <c r="D1" s="45">
        <v>45226</v>
      </c>
      <c r="E1" s="45">
        <v>45233</v>
      </c>
      <c r="F1" s="45">
        <v>45240</v>
      </c>
      <c r="G1" s="45">
        <v>45247</v>
      </c>
      <c r="H1" s="45">
        <v>45254</v>
      </c>
      <c r="I1" s="45">
        <v>45261</v>
      </c>
      <c r="J1" s="45">
        <v>45268</v>
      </c>
    </row>
    <row r="2" spans="1:12" ht="16.5">
      <c r="A2" s="46" t="s">
        <v>15</v>
      </c>
      <c r="B2" s="47">
        <v>22452818441.667297</v>
      </c>
      <c r="C2" s="47">
        <v>22321023691.510902</v>
      </c>
      <c r="D2" s="47">
        <v>22297088298.263195</v>
      </c>
      <c r="E2" s="47">
        <v>22627915820.731602</v>
      </c>
      <c r="F2" s="47">
        <v>22794496005.583801</v>
      </c>
      <c r="G2" s="47">
        <v>22858868495.366501</v>
      </c>
      <c r="H2" s="47">
        <v>22917888550.564899</v>
      </c>
      <c r="I2" s="47">
        <v>23002842288.0406</v>
      </c>
      <c r="J2" s="47">
        <v>23062133182.5075</v>
      </c>
    </row>
    <row r="3" spans="1:12" ht="16.5">
      <c r="A3" s="46" t="s">
        <v>47</v>
      </c>
      <c r="B3" s="48">
        <v>866430357744.91357</v>
      </c>
      <c r="C3" s="48">
        <v>868733209665.15002</v>
      </c>
      <c r="D3" s="48">
        <v>866720174597.19238</v>
      </c>
      <c r="E3" s="48">
        <v>868763948236.72998</v>
      </c>
      <c r="F3" s="48">
        <v>861362592384.79565</v>
      </c>
      <c r="G3" s="48">
        <v>865822924113.04614</v>
      </c>
      <c r="H3" s="48">
        <v>869350685967.34192</v>
      </c>
      <c r="I3" s="48">
        <v>869196903201.49829</v>
      </c>
      <c r="J3" s="48">
        <v>870627800539.96704</v>
      </c>
    </row>
    <row r="4" spans="1:12" ht="16.5">
      <c r="A4" s="46" t="s">
        <v>224</v>
      </c>
      <c r="B4" s="47">
        <v>296194339533.25995</v>
      </c>
      <c r="C4" s="47">
        <v>297314764640.83484</v>
      </c>
      <c r="D4" s="47">
        <v>296829521368.71655</v>
      </c>
      <c r="E4" s="47">
        <v>296477977964.1463</v>
      </c>
      <c r="F4" s="47">
        <v>299518508797.995</v>
      </c>
      <c r="G4" s="47">
        <v>298317775753.20929</v>
      </c>
      <c r="H4" s="47">
        <v>292383213255.36121</v>
      </c>
      <c r="I4" s="47">
        <v>291948133511.51477</v>
      </c>
      <c r="J4" s="47">
        <v>288458901847.26001</v>
      </c>
    </row>
    <row r="5" spans="1:12" ht="16.5">
      <c r="A5" s="46" t="s">
        <v>129</v>
      </c>
      <c r="B5" s="48">
        <v>594856395707.72656</v>
      </c>
      <c r="C5" s="48">
        <v>631778541802.7771</v>
      </c>
      <c r="D5" s="48">
        <v>623939339182.42139</v>
      </c>
      <c r="E5" s="48">
        <v>624424131579.08496</v>
      </c>
      <c r="F5" s="48">
        <v>638339381199.3125</v>
      </c>
      <c r="G5" s="48">
        <v>647350483168.5968</v>
      </c>
      <c r="H5" s="48">
        <v>652996623374.59875</v>
      </c>
      <c r="I5" s="48">
        <v>749487239675.21936</v>
      </c>
      <c r="J5" s="48">
        <v>882093775634.84949</v>
      </c>
    </row>
    <row r="6" spans="1:12" ht="16.5">
      <c r="A6" s="46" t="s">
        <v>225</v>
      </c>
      <c r="B6" s="47">
        <v>93063670940.059998</v>
      </c>
      <c r="C6" s="47">
        <v>93071505879.830002</v>
      </c>
      <c r="D6" s="47">
        <v>93122068013.900009</v>
      </c>
      <c r="E6" s="47">
        <v>93195143675.199997</v>
      </c>
      <c r="F6" s="47">
        <v>93197010128.300003</v>
      </c>
      <c r="G6" s="47">
        <v>95531336334.98999</v>
      </c>
      <c r="H6" s="47">
        <v>95820553466.403229</v>
      </c>
      <c r="I6" s="47">
        <v>96469811252.586914</v>
      </c>
      <c r="J6" s="47">
        <v>96484505230.946899</v>
      </c>
    </row>
    <row r="7" spans="1:12" ht="16.5">
      <c r="A7" s="46" t="s">
        <v>155</v>
      </c>
      <c r="B7" s="49">
        <v>39055524237.135551</v>
      </c>
      <c r="C7" s="49">
        <v>39125729977.492111</v>
      </c>
      <c r="D7" s="49">
        <v>39115203974.124908</v>
      </c>
      <c r="E7" s="49">
        <v>39279784642.423355</v>
      </c>
      <c r="F7" s="49">
        <v>39710985001.751167</v>
      </c>
      <c r="G7" s="49">
        <v>39960778727.195503</v>
      </c>
      <c r="H7" s="49">
        <v>40186047185.191147</v>
      </c>
      <c r="I7" s="49">
        <v>40757011293.125015</v>
      </c>
      <c r="J7" s="49">
        <v>41347090375.940308</v>
      </c>
    </row>
    <row r="8" spans="1:12" ht="16.5">
      <c r="A8" s="46" t="s">
        <v>179</v>
      </c>
      <c r="B8" s="47">
        <v>3847653774.98</v>
      </c>
      <c r="C8" s="47">
        <v>3851756766.6799998</v>
      </c>
      <c r="D8" s="47">
        <v>3850205746.29</v>
      </c>
      <c r="E8" s="47">
        <v>3928183119.75</v>
      </c>
      <c r="F8" s="47">
        <v>3954911247.46</v>
      </c>
      <c r="G8" s="47">
        <v>3972600047.8899999</v>
      </c>
      <c r="H8" s="47">
        <v>4234494815.8499999</v>
      </c>
      <c r="I8" s="47">
        <v>4265839491.7800002</v>
      </c>
      <c r="J8" s="47">
        <v>4291989601.98</v>
      </c>
    </row>
    <row r="9" spans="1:12" ht="16.5">
      <c r="A9" s="46" t="s">
        <v>226</v>
      </c>
      <c r="B9" s="47">
        <v>45328584703.190002</v>
      </c>
      <c r="C9" s="47">
        <v>45993634878.969994</v>
      </c>
      <c r="D9" s="47">
        <v>46178760569.040001</v>
      </c>
      <c r="E9" s="47">
        <v>46332265573.729996</v>
      </c>
      <c r="F9" s="47">
        <v>45576764591.580002</v>
      </c>
      <c r="G9" s="47">
        <v>46065186177</v>
      </c>
      <c r="H9" s="47">
        <v>45908361267.540009</v>
      </c>
      <c r="I9" s="47">
        <v>45253870390.850006</v>
      </c>
      <c r="J9" s="47">
        <v>45524715951.214706</v>
      </c>
    </row>
    <row r="10" spans="1:12" ht="15.75">
      <c r="A10" s="50" t="s">
        <v>227</v>
      </c>
      <c r="B10" s="51">
        <f t="shared" ref="B10:F10" si="0">SUM(B2:B9)</f>
        <v>1961229345082.9329</v>
      </c>
      <c r="C10" s="51">
        <f t="shared" si="0"/>
        <v>2002190167303.2449</v>
      </c>
      <c r="D10" s="51">
        <f t="shared" si="0"/>
        <v>1992052361749.9485</v>
      </c>
      <c r="E10" s="51">
        <f t="shared" si="0"/>
        <v>1995029350611.7961</v>
      </c>
      <c r="F10" s="51">
        <f t="shared" si="0"/>
        <v>2004454649356.7783</v>
      </c>
      <c r="G10" s="51">
        <f>SUM(G2:G9)</f>
        <v>2019879952817.2942</v>
      </c>
      <c r="H10" s="51">
        <f>SUM(H2:H9)</f>
        <v>2023797867882.8513</v>
      </c>
      <c r="I10" s="51">
        <f>SUM(I2:I9)</f>
        <v>2120381651104.615</v>
      </c>
      <c r="J10" s="51">
        <f>SUM(J2:J9)</f>
        <v>2251890912364.666</v>
      </c>
    </row>
    <row r="11" spans="1:12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2" ht="15.75">
      <c r="A12" s="54" t="s">
        <v>228</v>
      </c>
      <c r="B12" s="55" t="s">
        <v>229</v>
      </c>
      <c r="C12" s="56">
        <f>(B10+C10)/2</f>
        <v>1981709756193.0889</v>
      </c>
      <c r="D12" s="57">
        <f t="shared" ref="D12:J12" si="1">(C10+D10)/2</f>
        <v>1997121264526.5967</v>
      </c>
      <c r="E12" s="57">
        <f t="shared" si="1"/>
        <v>1993540856180.8723</v>
      </c>
      <c r="F12" s="57">
        <f t="shared" si="1"/>
        <v>1999741999984.2871</v>
      </c>
      <c r="G12" s="57">
        <f>(F10+G10)/2</f>
        <v>2012167301087.0361</v>
      </c>
      <c r="H12" s="57">
        <f t="shared" si="1"/>
        <v>2021838910350.0728</v>
      </c>
      <c r="I12" s="57">
        <f t="shared" si="1"/>
        <v>2072089759493.7332</v>
      </c>
      <c r="J12" s="57">
        <f t="shared" si="1"/>
        <v>2186136281734.6406</v>
      </c>
    </row>
    <row r="15" spans="1:12" ht="16.5">
      <c r="A15" s="44" t="s">
        <v>223</v>
      </c>
      <c r="B15" s="45">
        <v>45261</v>
      </c>
      <c r="C15" s="45">
        <v>45268</v>
      </c>
    </row>
    <row r="16" spans="1:12" ht="16.5">
      <c r="A16" s="46" t="s">
        <v>15</v>
      </c>
      <c r="B16" s="47">
        <v>23002842288.0406</v>
      </c>
      <c r="C16" s="47">
        <v>23062133182.5075</v>
      </c>
      <c r="E16" s="118"/>
      <c r="F16" s="118"/>
      <c r="G16" s="118"/>
      <c r="H16" s="118"/>
      <c r="I16" s="118"/>
      <c r="J16" s="118"/>
      <c r="K16" s="118"/>
      <c r="L16" s="118"/>
    </row>
    <row r="17" spans="1:13" ht="16.5">
      <c r="A17" s="46" t="s">
        <v>47</v>
      </c>
      <c r="B17" s="48">
        <v>869196903201.49829</v>
      </c>
      <c r="C17" s="48">
        <v>870627800539.96704</v>
      </c>
      <c r="J17" s="118"/>
    </row>
    <row r="18" spans="1:13" ht="16.5">
      <c r="A18" s="46" t="s">
        <v>224</v>
      </c>
      <c r="B18" s="47">
        <v>291948133511.51477</v>
      </c>
      <c r="C18" s="47">
        <v>288458901847.26001</v>
      </c>
    </row>
    <row r="19" spans="1:13" ht="16.5">
      <c r="A19" s="46" t="s">
        <v>129</v>
      </c>
      <c r="B19" s="48">
        <v>749487239675.21936</v>
      </c>
      <c r="C19" s="48">
        <v>882093775634.84949</v>
      </c>
      <c r="F19" s="118"/>
      <c r="G19" s="118"/>
      <c r="H19" s="118"/>
      <c r="I19" s="118"/>
      <c r="J19" s="118"/>
      <c r="K19" s="118"/>
      <c r="L19" s="118"/>
      <c r="M19" s="118"/>
    </row>
    <row r="20" spans="1:13" ht="16.5">
      <c r="A20" s="46" t="s">
        <v>225</v>
      </c>
      <c r="B20" s="47">
        <v>96469811252.586914</v>
      </c>
      <c r="C20" s="47">
        <v>96484505230.946899</v>
      </c>
      <c r="E20" s="118"/>
      <c r="F20" s="118"/>
      <c r="G20" s="118"/>
      <c r="H20" s="118"/>
      <c r="I20" s="118"/>
      <c r="J20" s="118"/>
      <c r="K20" s="118"/>
      <c r="L20" s="118"/>
    </row>
    <row r="21" spans="1:13" ht="16.5">
      <c r="A21" s="46" t="s">
        <v>155</v>
      </c>
      <c r="B21" s="49">
        <v>40757011293.125015</v>
      </c>
      <c r="C21" s="49">
        <v>41347090375.940308</v>
      </c>
    </row>
    <row r="22" spans="1:13" ht="16.5">
      <c r="A22" s="46" t="s">
        <v>179</v>
      </c>
      <c r="B22" s="47">
        <v>4265839491.7800002</v>
      </c>
      <c r="C22" s="47">
        <v>4291989601.98</v>
      </c>
    </row>
    <row r="23" spans="1:13" ht="16.5">
      <c r="A23" s="46" t="s">
        <v>226</v>
      </c>
      <c r="B23" s="47">
        <v>45253870390.850006</v>
      </c>
      <c r="C23" s="47">
        <v>45524715951.214706</v>
      </c>
    </row>
    <row r="26" spans="1:13">
      <c r="C26" s="118"/>
      <c r="D26" s="118"/>
      <c r="E26" s="118"/>
      <c r="F26" s="118"/>
      <c r="G26" s="118"/>
      <c r="H26" s="118"/>
      <c r="I26" s="118"/>
      <c r="J26" s="118"/>
    </row>
    <row r="28" spans="1:13">
      <c r="C28" s="70"/>
      <c r="D28" s="70"/>
      <c r="E28" s="70"/>
      <c r="F28" s="70"/>
      <c r="G28" s="70"/>
      <c r="H28" s="70"/>
      <c r="I28" s="70"/>
      <c r="J28" s="70"/>
    </row>
  </sheetData>
  <sheetProtection algorithmName="SHA-512" hashValue="psUmr/dwfZ8cO/4nRMOki77/Sp4m/kZX32DoOg6kVmWsglXiqis7EHWeEDXgap8vt7l8aIMZ8tqkYkap1rz91A==" saltValue="ntXtsa6PuIXXAEbpf6fr+Q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2023-12-19T11:42:46Z</dcterms:modified>
</cp:coreProperties>
</file>